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ҶСК ШИБ\ҶСК ШИБ 2025\Маълумотномаҳо\Всемирный банк\"/>
    </mc:Choice>
  </mc:AlternateContent>
  <xr:revisionPtr revIDLastSave="0" documentId="8_{2C4EF426-C87C-4E7F-B506-9ECD12112D84}" xr6:coauthVersionLast="47" xr6:coauthVersionMax="47" xr10:uidLastSave="{00000000-0000-0000-0000-000000000000}"/>
  <bookViews>
    <workbookView xWindow="-120" yWindow="-120" windowWidth="29040" windowHeight="15840" tabRatio="931" firstSheet="1" activeTab="6" xr2:uid="{00000000-000D-0000-FFFF-FFFF00000000}"/>
  </bookViews>
  <sheets>
    <sheet name="Physical_annual" sheetId="62" r:id="rId1"/>
    <sheet name="Physical_quarterly" sheetId="61" r:id="rId2"/>
    <sheet name="Physical_monthly" sheetId="31" r:id="rId3"/>
    <sheet name="Commercial_annual" sheetId="59" r:id="rId4"/>
    <sheet name="Commercial_quarterly" sheetId="65" r:id="rId5"/>
    <sheet name="Commercial_monthly" sheetId="66" r:id="rId6"/>
    <sheet name="SIB_FS_annual" sheetId="22" r:id="rId7"/>
    <sheet name="SIB_FS_semiannual" sheetId="60" r:id="rId8"/>
    <sheet name="SIB_FS_quarterly" sheetId="35" r:id="rId9"/>
  </sheets>
  <externalReferences>
    <externalReference r:id="rId10"/>
    <externalReference r:id="rId11"/>
    <externalReference r:id="rId12"/>
  </externalReferences>
  <definedNames>
    <definedName name="_56.9">#REF!</definedName>
    <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ort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asdfasf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fs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sad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asd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adfas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a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fs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hbvgkvhvgh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.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diagr10.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language">[1]Innehåll!#REF!</definedName>
    <definedName name="mödkfgalödkgakldfng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NyDiag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oi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d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NI10.12_livs">[2]ind!$D$66:$BB$82</definedName>
    <definedName name="SNI13.15_textil">[2]ind!$D$84:$BB$100</definedName>
    <definedName name="SNI16_trävaru">[2]ind!$D$102:$BB$118</definedName>
    <definedName name="SNI17_mapa">[2]ind!$D$120:$BB$136</definedName>
    <definedName name="SNI18_grafisk">[2]ind!$D$138:$BB$154</definedName>
    <definedName name="SNI20_kemi">[2]ind!$D$156:$BB$172</definedName>
    <definedName name="SNI21_läkemedel">[2]ind!$D$174:$BB$190</definedName>
    <definedName name="SNI22_gummi">[2]ind!$D$192:$BB$208</definedName>
    <definedName name="SNI23_jordsten">[2]ind!$D$210:$BB$226</definedName>
    <definedName name="SNI241.243_järnstål">[2]ind!$D$228:$BB$244</definedName>
    <definedName name="SNI244.245_metall">[2]ind!$D$246:$BB$262</definedName>
    <definedName name="SNI25.30_verkstad">[2]ind!$D$264:$BB$280</definedName>
    <definedName name="SNI31.33_övrigt">[2]ind!$D$282:$BB$298</definedName>
    <definedName name="SNI5.9_gruv">[2]ind!$D$48:$BB$64</definedName>
    <definedName name="SNIsmå">[2]ind!$D$300:$BB$316</definedName>
    <definedName name="språk">[1]Innehåll!#REF!</definedName>
    <definedName name="test">[1]Innehåll!#REF!</definedName>
    <definedName name="vafan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_xlnm.Print_Area" localSheetId="3">Commercial_annual!$B$6:$B$41</definedName>
    <definedName name="_xlnm.Print_Area" localSheetId="5">Commercial_monthly!$B$6:$B$41</definedName>
    <definedName name="_xlnm.Print_Area" localSheetId="4">Commercial_quarterly!$B$6:$B$41</definedName>
    <definedName name="_xlnm.Print_Area" localSheetId="0">Physical_annual!$B$1:$B$18</definedName>
    <definedName name="_xlnm.Print_Area" localSheetId="2">Physical_monthly!$B$1:$B$18</definedName>
    <definedName name="_xlnm.Print_Area" localSheetId="1">Physical_quarterly!$B$1:$B$18</definedName>
    <definedName name="_xlnm.Print_Area" localSheetId="6">SIB_FS_annual!$B$1:$B$85</definedName>
    <definedName name="_xlnm.Print_Area" localSheetId="8">SIB_FS_quarterly!$B$1:$B$54</definedName>
    <definedName name="_xlnm.Print_Area" localSheetId="7">SIB_FS_semiannual!$B$1:$B$76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65" l="1"/>
  <c r="E31" i="65"/>
  <c r="F31" i="65"/>
  <c r="G31" i="65"/>
  <c r="H31" i="65"/>
  <c r="I31" i="65"/>
  <c r="J31" i="65"/>
  <c r="K31" i="65"/>
  <c r="L31" i="65"/>
  <c r="F33" i="65"/>
  <c r="G33" i="65"/>
  <c r="H33" i="65"/>
  <c r="I33" i="65"/>
  <c r="J33" i="65"/>
  <c r="K33" i="65"/>
  <c r="L33" i="65"/>
  <c r="F30" i="65"/>
  <c r="G30" i="65"/>
  <c r="H30" i="65"/>
  <c r="I30" i="65"/>
  <c r="J30" i="65"/>
  <c r="K30" i="65"/>
  <c r="L30" i="65"/>
  <c r="E30" i="65"/>
  <c r="E33" i="59"/>
  <c r="E31" i="59"/>
  <c r="F31" i="59"/>
  <c r="F33" i="59"/>
  <c r="F30" i="59"/>
  <c r="E30" i="59"/>
  <c r="F27" i="59"/>
  <c r="E27" i="59"/>
  <c r="E25" i="59"/>
  <c r="F25" i="59"/>
  <c r="E26" i="59"/>
  <c r="F26" i="59"/>
  <c r="F24" i="59"/>
  <c r="E24" i="59"/>
  <c r="F27" i="65"/>
  <c r="G27" i="65"/>
  <c r="H27" i="65"/>
  <c r="I27" i="65"/>
  <c r="J27" i="65"/>
  <c r="K27" i="65"/>
  <c r="L27" i="65"/>
  <c r="E27" i="65"/>
  <c r="E25" i="65"/>
  <c r="F25" i="65"/>
  <c r="G25" i="65"/>
  <c r="H25" i="65"/>
  <c r="I25" i="65"/>
  <c r="J25" i="65"/>
  <c r="K25" i="65"/>
  <c r="L25" i="65"/>
  <c r="E26" i="65"/>
  <c r="F26" i="65"/>
  <c r="G26" i="65"/>
  <c r="H26" i="65"/>
  <c r="I26" i="65"/>
  <c r="J26" i="65"/>
  <c r="K26" i="65"/>
  <c r="L26" i="65"/>
  <c r="L24" i="65"/>
  <c r="K24" i="65"/>
  <c r="J24" i="65"/>
  <c r="I24" i="65"/>
  <c r="H24" i="65"/>
  <c r="G24" i="65"/>
  <c r="F24" i="65"/>
  <c r="E24" i="65"/>
  <c r="P24" i="66"/>
  <c r="P30" i="66" s="1"/>
  <c r="O24" i="66"/>
  <c r="O30" i="66" s="1"/>
  <c r="N24" i="66"/>
  <c r="N30" i="66" s="1"/>
  <c r="M24" i="66"/>
  <c r="M30" i="66" s="1"/>
  <c r="L24" i="66"/>
  <c r="L27" i="66" s="1"/>
  <c r="L33" i="66" s="1"/>
  <c r="K24" i="66"/>
  <c r="K30" i="66" s="1"/>
  <c r="J24" i="66"/>
  <c r="J30" i="66" s="1"/>
  <c r="G25" i="66"/>
  <c r="G31" i="66" s="1"/>
  <c r="I24" i="66"/>
  <c r="I30" i="66" s="1"/>
  <c r="H24" i="66"/>
  <c r="H30" i="66" s="1"/>
  <c r="G24" i="66"/>
  <c r="G30" i="66" s="1"/>
  <c r="F24" i="66"/>
  <c r="F27" i="66" s="1"/>
  <c r="F33" i="66" s="1"/>
  <c r="E24" i="66"/>
  <c r="E30" i="66" s="1"/>
  <c r="E7" i="66"/>
  <c r="P27" i="66"/>
  <c r="P33" i="66" s="1"/>
  <c r="M27" i="66"/>
  <c r="M33" i="66" s="1"/>
  <c r="Q33" i="66"/>
  <c r="R33" i="66"/>
  <c r="T33" i="66"/>
  <c r="U33" i="66"/>
  <c r="V33" i="66"/>
  <c r="Y33" i="66"/>
  <c r="Z33" i="66"/>
  <c r="AB33" i="66"/>
  <c r="F31" i="66"/>
  <c r="H31" i="66"/>
  <c r="I31" i="66"/>
  <c r="J31" i="66"/>
  <c r="K31" i="66"/>
  <c r="L31" i="66"/>
  <c r="M31" i="66"/>
  <c r="N31" i="66"/>
  <c r="O31" i="66"/>
  <c r="P31" i="66"/>
  <c r="Q31" i="66"/>
  <c r="R31" i="66"/>
  <c r="S31" i="66"/>
  <c r="T31" i="66"/>
  <c r="U31" i="66"/>
  <c r="V31" i="66"/>
  <c r="W31" i="66"/>
  <c r="X31" i="66"/>
  <c r="Y31" i="66"/>
  <c r="Z31" i="66"/>
  <c r="AA31" i="66"/>
  <c r="AB31" i="66"/>
  <c r="E31" i="66"/>
  <c r="Q30" i="66"/>
  <c r="R30" i="66"/>
  <c r="S30" i="66"/>
  <c r="T30" i="66"/>
  <c r="U30" i="66"/>
  <c r="V30" i="66"/>
  <c r="W30" i="66"/>
  <c r="X30" i="66"/>
  <c r="Y30" i="66"/>
  <c r="Z30" i="66"/>
  <c r="AA30" i="66"/>
  <c r="AB30" i="66"/>
  <c r="G27" i="66"/>
  <c r="G33" i="66" s="1"/>
  <c r="J27" i="66"/>
  <c r="J33" i="66" s="1"/>
  <c r="N27" i="66"/>
  <c r="N33" i="66" s="1"/>
  <c r="Q27" i="66"/>
  <c r="R27" i="66"/>
  <c r="S27" i="66"/>
  <c r="S33" i="66" s="1"/>
  <c r="T27" i="66"/>
  <c r="U27" i="66"/>
  <c r="V27" i="66"/>
  <c r="W27" i="66"/>
  <c r="W33" i="66" s="1"/>
  <c r="X27" i="66"/>
  <c r="X33" i="66" s="1"/>
  <c r="Y27" i="66"/>
  <c r="Z27" i="66"/>
  <c r="AA27" i="66"/>
  <c r="AA33" i="66" s="1"/>
  <c r="AB27" i="66"/>
  <c r="AB24" i="66"/>
  <c r="AA24" i="66"/>
  <c r="Z24" i="66"/>
  <c r="Y24" i="66"/>
  <c r="X24" i="66"/>
  <c r="W24" i="66"/>
  <c r="V24" i="66"/>
  <c r="U24" i="66"/>
  <c r="T24" i="66"/>
  <c r="S24" i="66"/>
  <c r="R24" i="66"/>
  <c r="Q24" i="66"/>
  <c r="Q2" i="66"/>
  <c r="I8" i="65"/>
  <c r="J8" i="65"/>
  <c r="K8" i="65"/>
  <c r="L8" i="65"/>
  <c r="F8" i="59" s="1"/>
  <c r="L7" i="65"/>
  <c r="K7" i="65"/>
  <c r="J7" i="65"/>
  <c r="I7" i="65"/>
  <c r="AB7" i="66"/>
  <c r="AB8" i="66"/>
  <c r="AA8" i="66"/>
  <c r="AA7" i="66"/>
  <c r="AA10" i="66" s="1"/>
  <c r="Z8" i="66"/>
  <c r="Z7" i="66"/>
  <c r="Y8" i="66"/>
  <c r="Y7" i="66"/>
  <c r="X8" i="66"/>
  <c r="X7" i="66"/>
  <c r="W8" i="66"/>
  <c r="W7" i="66"/>
  <c r="V8" i="66"/>
  <c r="V7" i="66"/>
  <c r="U8" i="66"/>
  <c r="U7" i="66"/>
  <c r="T8" i="66"/>
  <c r="T7" i="66"/>
  <c r="T10" i="66" s="1"/>
  <c r="S8" i="66"/>
  <c r="S7" i="66"/>
  <c r="R8" i="66"/>
  <c r="R7" i="66"/>
  <c r="Q8" i="66"/>
  <c r="Q7" i="66"/>
  <c r="P7" i="66"/>
  <c r="F10" i="65"/>
  <c r="G10" i="65"/>
  <c r="H10" i="65"/>
  <c r="I10" i="65"/>
  <c r="K10" i="65"/>
  <c r="E10" i="65"/>
  <c r="E8" i="65"/>
  <c r="F8" i="65"/>
  <c r="G8" i="65"/>
  <c r="H8" i="65"/>
  <c r="E8" i="59" s="1"/>
  <c r="H7" i="65"/>
  <c r="G7" i="65"/>
  <c r="F7" i="65"/>
  <c r="E7" i="65"/>
  <c r="P8" i="66"/>
  <c r="O8" i="66"/>
  <c r="O7" i="66"/>
  <c r="N8" i="66"/>
  <c r="N7" i="66"/>
  <c r="M8" i="66"/>
  <c r="M10" i="66" s="1"/>
  <c r="M7" i="66"/>
  <c r="L8" i="66"/>
  <c r="L7" i="66"/>
  <c r="L10" i="66" s="1"/>
  <c r="K8" i="66"/>
  <c r="K7" i="66"/>
  <c r="J8" i="66"/>
  <c r="J7" i="66"/>
  <c r="I8" i="66"/>
  <c r="I7" i="66"/>
  <c r="H8" i="66"/>
  <c r="H7" i="66"/>
  <c r="H10" i="66" s="1"/>
  <c r="G8" i="66"/>
  <c r="G7" i="66"/>
  <c r="F8" i="66"/>
  <c r="F7" i="66"/>
  <c r="P10" i="66"/>
  <c r="R10" i="66"/>
  <c r="X10" i="66"/>
  <c r="E10" i="66"/>
  <c r="E8" i="66"/>
  <c r="E2" i="66"/>
  <c r="F4" i="59"/>
  <c r="E4" i="59"/>
  <c r="F4" i="65"/>
  <c r="G4" i="65"/>
  <c r="H4" i="65"/>
  <c r="I4" i="65"/>
  <c r="J4" i="65"/>
  <c r="K4" i="65"/>
  <c r="L4" i="65"/>
  <c r="E4" i="65"/>
  <c r="F4" i="66"/>
  <c r="G4" i="66"/>
  <c r="H4" i="66"/>
  <c r="I4" i="66"/>
  <c r="J4" i="66"/>
  <c r="K4" i="66"/>
  <c r="L4" i="66"/>
  <c r="M4" i="66"/>
  <c r="N4" i="66"/>
  <c r="O4" i="66"/>
  <c r="P4" i="66"/>
  <c r="Q4" i="66"/>
  <c r="R4" i="66"/>
  <c r="S4" i="66"/>
  <c r="T4" i="66"/>
  <c r="U4" i="66"/>
  <c r="V4" i="66"/>
  <c r="W4" i="66"/>
  <c r="X4" i="66"/>
  <c r="Y4" i="66"/>
  <c r="Z4" i="66"/>
  <c r="AA4" i="66"/>
  <c r="AB4" i="66"/>
  <c r="E4" i="66"/>
  <c r="AB2" i="66"/>
  <c r="L2" i="65" s="1"/>
  <c r="AA2" i="66"/>
  <c r="Z2" i="66"/>
  <c r="Y2" i="66"/>
  <c r="X2" i="66"/>
  <c r="W2" i="66"/>
  <c r="V2" i="66"/>
  <c r="U2" i="66"/>
  <c r="T2" i="66"/>
  <c r="S2" i="66"/>
  <c r="R2" i="66"/>
  <c r="P2" i="66"/>
  <c r="I2" i="65"/>
  <c r="E2" i="59"/>
  <c r="H2" i="65"/>
  <c r="G2" i="65"/>
  <c r="F2" i="65"/>
  <c r="E2" i="65"/>
  <c r="O2" i="66"/>
  <c r="N2" i="66"/>
  <c r="M2" i="66"/>
  <c r="L2" i="66"/>
  <c r="K2" i="66"/>
  <c r="J2" i="66"/>
  <c r="I2" i="66"/>
  <c r="H2" i="66"/>
  <c r="G2" i="66"/>
  <c r="F2" i="66"/>
  <c r="O27" i="66" l="1"/>
  <c r="O33" i="66" s="1"/>
  <c r="L30" i="66"/>
  <c r="I27" i="66"/>
  <c r="I33" i="66" s="1"/>
  <c r="F30" i="66"/>
  <c r="E27" i="66"/>
  <c r="E33" i="66" s="1"/>
  <c r="K27" i="66"/>
  <c r="K33" i="66" s="1"/>
  <c r="H27" i="66"/>
  <c r="H33" i="66" s="1"/>
  <c r="L10" i="65"/>
  <c r="F7" i="59"/>
  <c r="F10" i="59" s="1"/>
  <c r="J10" i="65"/>
  <c r="AB10" i="66"/>
  <c r="Z10" i="66"/>
  <c r="Y10" i="66"/>
  <c r="W10" i="66"/>
  <c r="V10" i="66"/>
  <c r="U10" i="66"/>
  <c r="S10" i="66"/>
  <c r="Q10" i="66"/>
  <c r="E7" i="59"/>
  <c r="E10" i="59" s="1"/>
  <c r="O10" i="66"/>
  <c r="N10" i="66"/>
  <c r="K10" i="66"/>
  <c r="J10" i="66"/>
  <c r="I10" i="66"/>
  <c r="G10" i="66"/>
  <c r="F10" i="66"/>
  <c r="K2" i="65"/>
  <c r="J2" i="65"/>
  <c r="F2" i="59"/>
  <c r="F6" i="62" l="1"/>
  <c r="L17" i="61"/>
  <c r="K17" i="61"/>
  <c r="J17" i="61"/>
  <c r="I17" i="61"/>
  <c r="F17" i="62" l="1"/>
  <c r="H17" i="61"/>
  <c r="G17" i="61"/>
  <c r="F17" i="61"/>
  <c r="E17" i="61"/>
  <c r="E17" i="62" s="1"/>
  <c r="L16" i="61"/>
  <c r="K16" i="61"/>
  <c r="J16" i="61"/>
  <c r="I16" i="61"/>
  <c r="F16" i="62" s="1"/>
  <c r="H16" i="61"/>
  <c r="G16" i="61"/>
  <c r="F16" i="61"/>
  <c r="E16" i="61"/>
  <c r="E16" i="62" s="1"/>
  <c r="F13" i="62" l="1"/>
  <c r="E13" i="62"/>
  <c r="F8" i="62"/>
  <c r="F18" i="62" s="1"/>
  <c r="E8" i="62"/>
  <c r="E18" i="62" s="1"/>
  <c r="L12" i="61"/>
  <c r="K12" i="61"/>
  <c r="J12" i="61"/>
  <c r="I12" i="61"/>
  <c r="H12" i="61"/>
  <c r="G12" i="61"/>
  <c r="F12" i="61"/>
  <c r="E12" i="61"/>
  <c r="L11" i="61"/>
  <c r="L13" i="61" s="1"/>
  <c r="K11" i="61"/>
  <c r="J11" i="61"/>
  <c r="J13" i="61" s="1"/>
  <c r="I11" i="61"/>
  <c r="H11" i="61"/>
  <c r="H13" i="61" s="1"/>
  <c r="G11" i="61"/>
  <c r="G13" i="61" s="1"/>
  <c r="F11" i="61"/>
  <c r="F13" i="61" s="1"/>
  <c r="E11" i="61"/>
  <c r="E13" i="61" s="1"/>
  <c r="L7" i="61"/>
  <c r="K7" i="61"/>
  <c r="J7" i="61"/>
  <c r="I7" i="61"/>
  <c r="H7" i="61"/>
  <c r="G7" i="61"/>
  <c r="F7" i="61"/>
  <c r="E7" i="61"/>
  <c r="L6" i="61"/>
  <c r="L8" i="61" s="1"/>
  <c r="L18" i="61" s="1"/>
  <c r="K6" i="61"/>
  <c r="K8" i="61" s="1"/>
  <c r="K18" i="61" s="1"/>
  <c r="J6" i="61"/>
  <c r="J8" i="61" s="1"/>
  <c r="J18" i="61" s="1"/>
  <c r="I6" i="61"/>
  <c r="I8" i="61" s="1"/>
  <c r="I18" i="61" s="1"/>
  <c r="H6" i="61"/>
  <c r="H8" i="61" s="1"/>
  <c r="H18" i="61" s="1"/>
  <c r="G6" i="61"/>
  <c r="G8" i="61" s="1"/>
  <c r="G18" i="61" s="1"/>
  <c r="F6" i="61"/>
  <c r="F8" i="61" s="1"/>
  <c r="F18" i="61" s="1"/>
  <c r="E6" i="61"/>
  <c r="E8" i="61" s="1"/>
  <c r="E18" i="61" s="1"/>
  <c r="AB13" i="31"/>
  <c r="AA13" i="31"/>
  <c r="Z13" i="31"/>
  <c r="Y13" i="31"/>
  <c r="X13" i="31"/>
  <c r="W13" i="31"/>
  <c r="V13" i="31"/>
  <c r="U13" i="31"/>
  <c r="T13" i="31"/>
  <c r="S13" i="31"/>
  <c r="R13" i="31"/>
  <c r="Q13" i="31"/>
  <c r="P13" i="31"/>
  <c r="O13" i="31"/>
  <c r="N13" i="31"/>
  <c r="M13" i="31"/>
  <c r="L13" i="31"/>
  <c r="K13" i="31"/>
  <c r="J13" i="31"/>
  <c r="I13" i="31"/>
  <c r="H13" i="31"/>
  <c r="G13" i="31"/>
  <c r="F13" i="31"/>
  <c r="E13" i="31"/>
  <c r="AB8" i="31"/>
  <c r="AA8" i="31"/>
  <c r="Z8" i="31"/>
  <c r="Y8" i="31"/>
  <c r="X8" i="31"/>
  <c r="W8" i="31"/>
  <c r="V8" i="31"/>
  <c r="U8" i="31"/>
  <c r="T8" i="31"/>
  <c r="S8" i="31"/>
  <c r="R8" i="31"/>
  <c r="Q8" i="31"/>
  <c r="P8" i="31"/>
  <c r="O8" i="31"/>
  <c r="N8" i="31"/>
  <c r="M8" i="31"/>
  <c r="L8" i="31"/>
  <c r="K8" i="31"/>
  <c r="J8" i="31"/>
  <c r="I8" i="31"/>
  <c r="H8" i="31"/>
  <c r="G8" i="31"/>
  <c r="F8" i="31"/>
  <c r="E8" i="31"/>
  <c r="I13" i="61" l="1"/>
  <c r="K13" i="61"/>
</calcChain>
</file>

<file path=xl/sharedStrings.xml><?xml version="1.0" encoding="utf-8"?>
<sst xmlns="http://schemas.openxmlformats.org/spreadsheetml/2006/main" count="1182" uniqueCount="158">
  <si>
    <t>Total</t>
  </si>
  <si>
    <t>Other</t>
  </si>
  <si>
    <t>Exports</t>
  </si>
  <si>
    <t>Average</t>
  </si>
  <si>
    <t>BT income statement, MTJS</t>
  </si>
  <si>
    <t>Financial income</t>
  </si>
  <si>
    <t>Depreciation</t>
  </si>
  <si>
    <t>Interest cost</t>
  </si>
  <si>
    <t>Provisions</t>
  </si>
  <si>
    <t>Capex</t>
  </si>
  <si>
    <t>Opex (excl. commodities expenses)</t>
  </si>
  <si>
    <t>Sales revenues (excl. heating)</t>
  </si>
  <si>
    <t>Heating sales revenue</t>
  </si>
  <si>
    <t>Commodities expenses</t>
  </si>
  <si>
    <t>Tax</t>
  </si>
  <si>
    <t>Gross margin</t>
  </si>
  <si>
    <t>EBITDA</t>
  </si>
  <si>
    <t>Net earnings</t>
  </si>
  <si>
    <t>EBIT</t>
  </si>
  <si>
    <t>Q1-22</t>
  </si>
  <si>
    <t>Q2-22</t>
  </si>
  <si>
    <t>Q1-23</t>
  </si>
  <si>
    <t>Q2-23</t>
  </si>
  <si>
    <t>Q3-22</t>
  </si>
  <si>
    <t>Q4-22</t>
  </si>
  <si>
    <t>Q3-23</t>
  </si>
  <si>
    <t>Q4-23</t>
  </si>
  <si>
    <t>Unit</t>
  </si>
  <si>
    <t>Comment/reference</t>
  </si>
  <si>
    <t>GWh</t>
  </si>
  <si>
    <t>MW</t>
  </si>
  <si>
    <t>PPE</t>
  </si>
  <si>
    <t>Intangible assets</t>
  </si>
  <si>
    <t>Accounts receivable</t>
  </si>
  <si>
    <t>Other non-current assets</t>
  </si>
  <si>
    <t>Non-current advances</t>
  </si>
  <si>
    <t>BT assets, MTJS</t>
  </si>
  <si>
    <t>Inventory</t>
  </si>
  <si>
    <t>Current advances</t>
  </si>
  <si>
    <t>Tax prepayments</t>
  </si>
  <si>
    <t>Cash &amp; cash equivalents</t>
  </si>
  <si>
    <t>Total non-current assets</t>
  </si>
  <si>
    <t>Total current assets</t>
  </si>
  <si>
    <t>Total assets</t>
  </si>
  <si>
    <t>BT cash flows, MTJS</t>
  </si>
  <si>
    <t>Electricity sales</t>
  </si>
  <si>
    <t>Heating sales</t>
  </si>
  <si>
    <t>Other operating cash flows</t>
  </si>
  <si>
    <t>Inventory purchase</t>
  </si>
  <si>
    <t>Electricity purchase</t>
  </si>
  <si>
    <t>Payroll</t>
  </si>
  <si>
    <t>Services</t>
  </si>
  <si>
    <t>BT liabilities, MTJS</t>
  </si>
  <si>
    <t>Long-term loans</t>
  </si>
  <si>
    <t>Bonds</t>
  </si>
  <si>
    <t>Other non-current liabilities</t>
  </si>
  <si>
    <t>Total non-current liabilities</t>
  </si>
  <si>
    <t>Short-term loans</t>
  </si>
  <si>
    <t>Accounts payable</t>
  </si>
  <si>
    <t>Advances received</t>
  </si>
  <si>
    <t>Taxes payable</t>
  </si>
  <si>
    <t>Declared dividends</t>
  </si>
  <si>
    <t>Other current liabilities</t>
  </si>
  <si>
    <t>Total current liabilities</t>
  </si>
  <si>
    <t>PPE purchases/divestments</t>
  </si>
  <si>
    <t>Other cash flows from investing activities</t>
  </si>
  <si>
    <t>Net operating cash flow</t>
  </si>
  <si>
    <t>Net investing cash flow</t>
  </si>
  <si>
    <t>Grants received</t>
  </si>
  <si>
    <t>Principal payments</t>
  </si>
  <si>
    <t>Other cash flows from financing activities (ecxl. Interest payments)</t>
  </si>
  <si>
    <t>STB</t>
  </si>
  <si>
    <t>TJS/KWh</t>
  </si>
  <si>
    <t>Receivables by counterparty, MTJS</t>
  </si>
  <si>
    <t>#1 highest</t>
  </si>
  <si>
    <t>#2 highest</t>
  </si>
  <si>
    <t>#3 highest</t>
  </si>
  <si>
    <t>#4 highest</t>
  </si>
  <si>
    <t>#5 highest</t>
  </si>
  <si>
    <t>Payables by counterparty, MTJS</t>
  </si>
  <si>
    <t>Other counterparties</t>
  </si>
  <si>
    <t>MTJS</t>
  </si>
  <si>
    <t>BT</t>
  </si>
  <si>
    <t>%</t>
  </si>
  <si>
    <t>Net margin</t>
  </si>
  <si>
    <t>BT current assets, MTJS</t>
  </si>
  <si>
    <t>BT income &amp; margin, MTJS</t>
  </si>
  <si>
    <t>Total liabilities</t>
  </si>
  <si>
    <t>Q3-24</t>
  </si>
  <si>
    <t>Q4-24</t>
  </si>
  <si>
    <t>Purchases, by counterparty, MTJS</t>
  </si>
  <si>
    <t>Q1-24</t>
  </si>
  <si>
    <t>Q2-24</t>
  </si>
  <si>
    <t>Ratio</t>
  </si>
  <si>
    <t>BT Debt service coverage, ratio</t>
  </si>
  <si>
    <t>Debt service coverage ratio</t>
  </si>
  <si>
    <t>H2-2022</t>
  </si>
  <si>
    <t>H1-20223</t>
  </si>
  <si>
    <t>H2-2023</t>
  </si>
  <si>
    <t>H2-2024</t>
  </si>
  <si>
    <t>Electricity received from BT, GWh</t>
  </si>
  <si>
    <t>Electricity received from BT</t>
  </si>
  <si>
    <t>Demand/load, MW</t>
  </si>
  <si>
    <t>Minimum</t>
  </si>
  <si>
    <t>Maximum</t>
  </si>
  <si>
    <t>Electricity delivered to STB, GWh</t>
  </si>
  <si>
    <t>Electricity delivered to STB</t>
  </si>
  <si>
    <t>Transmission losses, GWh</t>
  </si>
  <si>
    <t>Losses</t>
  </si>
  <si>
    <t>Total sales, by counterparty, MTJS</t>
  </si>
  <si>
    <t>Electricity received from others</t>
  </si>
  <si>
    <t>Electricity delivered to others</t>
  </si>
  <si>
    <t>Total cash collections, by counterparty, MTJS</t>
  </si>
  <si>
    <t>Cash collection rate, by sector, %</t>
  </si>
  <si>
    <t>Purchase tariffs per counterparty, TJS/kWh</t>
  </si>
  <si>
    <t>Sales tariffs per counterparty, TJS/kWh</t>
  </si>
  <si>
    <t>BT - export wheeling charges</t>
  </si>
  <si>
    <t>Sales revenue</t>
  </si>
  <si>
    <t>Opex</t>
  </si>
  <si>
    <t>Import/export capacity, by country/region, MW</t>
  </si>
  <si>
    <t>Kyrgyzstan</t>
  </si>
  <si>
    <t>Kazakhstan</t>
  </si>
  <si>
    <t>Uzbekistan</t>
  </si>
  <si>
    <t>Afghanistan</t>
  </si>
  <si>
    <t>Installed capacity, by plant, MW</t>
  </si>
  <si>
    <t>Nurek HPP</t>
  </si>
  <si>
    <t>Baipazinskaya HPP</t>
  </si>
  <si>
    <t>Vakhsh HPP Cascade</t>
  </si>
  <si>
    <t>Kayrakkum HPP</t>
  </si>
  <si>
    <t>Varzob HPP Cascade</t>
  </si>
  <si>
    <t>Small HPPs</t>
  </si>
  <si>
    <t>Dushanbe CHPP-1</t>
  </si>
  <si>
    <t>Dushanbe CHPP-2</t>
  </si>
  <si>
    <t>Sangtuda HPP-1</t>
  </si>
  <si>
    <t>Sangtuda HPP-2</t>
  </si>
  <si>
    <t>Rogun HPP</t>
  </si>
  <si>
    <t>Imports</t>
  </si>
  <si>
    <t>Available capacity, by plant, MW</t>
  </si>
  <si>
    <t>Installed capacity, by type, MW</t>
  </si>
  <si>
    <t>Hydrolectric</t>
  </si>
  <si>
    <t>Gas</t>
  </si>
  <si>
    <t>Oil</t>
  </si>
  <si>
    <t>Coal</t>
  </si>
  <si>
    <t>Solar</t>
  </si>
  <si>
    <t>Wind</t>
  </si>
  <si>
    <t>Biomass</t>
  </si>
  <si>
    <t>Own needs</t>
  </si>
  <si>
    <t>with VAT</t>
  </si>
  <si>
    <t>without VAT</t>
  </si>
  <si>
    <t>without VAT</t>
  </si>
  <si>
    <t>#1 highest OJSC "Shabakahoi taqsimoti barq"</t>
  </si>
  <si>
    <t>Transmission service</t>
  </si>
  <si>
    <t>Other operating payments</t>
  </si>
  <si>
    <t>added</t>
  </si>
  <si>
    <t>H1-2022</t>
  </si>
  <si>
    <t>H1-2023</t>
  </si>
  <si>
    <t>H1-2024</t>
  </si>
  <si>
    <t>#2 highest OJSC "Barqi Tojik"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</si>
</sst>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_р_._-;\-* #,##0.00_р_._-;_-* &quot;-&quot;??_р_._-;_-@_-"/>
    <numFmt numFmtId="165" formatCode="0.0"/>
    <numFmt numFmtId="166" formatCode="0.000"/>
    <numFmt numFmtId="167" formatCode="0.00000000000"/>
    <numFmt numFmtId="168" formatCode="0.000000000000000000000000"/>
    <numFmt numFmtId="169" formatCode="0.00000000000000000"/>
    <numFmt numFmtId="170" formatCode="0.00000000000000"/>
    <numFmt numFmtId="171" formatCode="0.000000000"/>
    <numFmt numFmtId="172" formatCode="0.000000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eneva"/>
      <family val="2"/>
    </font>
    <font>
      <sz val="8"/>
      <name val="Arial"/>
      <family val="2"/>
    </font>
    <font>
      <sz val="11"/>
      <color theme="1"/>
      <name val="Calibri Light"/>
      <family val="2"/>
      <scheme val="major"/>
    </font>
    <font>
      <b/>
      <sz val="10"/>
      <color theme="0"/>
      <name val="Arial"/>
      <family val="2"/>
    </font>
    <font>
      <sz val="8"/>
      <name val="Calibri"/>
      <family val="2"/>
      <scheme val="minor"/>
    </font>
    <font>
      <b/>
      <sz val="12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/>
    <xf numFmtId="0" fontId="4" fillId="0" borderId="0"/>
    <xf numFmtId="164" fontId="1" fillId="0" borderId="0" applyFont="0" applyFill="0" applyBorder="0" applyAlignment="0" applyProtection="0"/>
  </cellStyleXfs>
  <cellXfs count="83">
    <xf numFmtId="0" fontId="0" fillId="0" borderId="0" xfId="0"/>
    <xf numFmtId="0" fontId="5" fillId="3" borderId="4" xfId="2" applyFont="1" applyFill="1" applyBorder="1" applyAlignment="1">
      <alignment horizontal="left"/>
    </xf>
    <xf numFmtId="1" fontId="5" fillId="3" borderId="4" xfId="3" applyNumberFormat="1" applyFont="1" applyFill="1" applyBorder="1" applyAlignment="1">
      <alignment horizontal="left"/>
    </xf>
    <xf numFmtId="0" fontId="7" fillId="3" borderId="4" xfId="3" applyFont="1" applyFill="1" applyBorder="1"/>
    <xf numFmtId="165" fontId="5" fillId="3" borderId="4" xfId="3" applyNumberFormat="1" applyFont="1" applyFill="1" applyBorder="1" applyAlignment="1">
      <alignment horizontal="left"/>
    </xf>
    <xf numFmtId="165" fontId="5" fillId="3" borderId="7" xfId="3" applyNumberFormat="1" applyFont="1" applyFill="1" applyBorder="1" applyAlignment="1">
      <alignment horizontal="left"/>
    </xf>
    <xf numFmtId="17" fontId="5" fillId="3" borderId="4" xfId="2" applyNumberFormat="1" applyFont="1" applyFill="1" applyBorder="1" applyAlignment="1">
      <alignment horizontal="left"/>
    </xf>
    <xf numFmtId="0" fontId="8" fillId="2" borderId="0" xfId="2" applyFont="1" applyFill="1"/>
    <xf numFmtId="0" fontId="9" fillId="2" borderId="2" xfId="0" applyFont="1" applyFill="1" applyBorder="1" applyAlignment="1">
      <alignment horizontal="right" vertical="center" wrapText="1"/>
    </xf>
    <xf numFmtId="1" fontId="8" fillId="2" borderId="0" xfId="2" applyNumberFormat="1" applyFont="1" applyFill="1"/>
    <xf numFmtId="0" fontId="10" fillId="2" borderId="2" xfId="0" applyFont="1" applyFill="1" applyBorder="1" applyAlignment="1">
      <alignment horizontal="right" vertical="center" wrapText="1"/>
    </xf>
    <xf numFmtId="1" fontId="11" fillId="2" borderId="0" xfId="2" applyNumberFormat="1" applyFont="1" applyFill="1"/>
    <xf numFmtId="0" fontId="10" fillId="2" borderId="0" xfId="0" applyFont="1" applyFill="1" applyAlignment="1">
      <alignment horizontal="right" vertical="center" wrapText="1"/>
    </xf>
    <xf numFmtId="165" fontId="11" fillId="2" borderId="1" xfId="3" applyNumberFormat="1" applyFont="1" applyFill="1" applyBorder="1" applyAlignment="1">
      <alignment horizontal="left"/>
    </xf>
    <xf numFmtId="165" fontId="8" fillId="2" borderId="0" xfId="2" applyNumberFormat="1" applyFont="1" applyFill="1"/>
    <xf numFmtId="165" fontId="8" fillId="2" borderId="1" xfId="2" applyNumberFormat="1" applyFont="1" applyFill="1" applyBorder="1"/>
    <xf numFmtId="165" fontId="5" fillId="3" borderId="5" xfId="3" applyNumberFormat="1" applyFont="1" applyFill="1" applyBorder="1" applyAlignment="1">
      <alignment horizontal="left"/>
    </xf>
    <xf numFmtId="0" fontId="12" fillId="3" borderId="4" xfId="2" applyFont="1" applyFill="1" applyBorder="1"/>
    <xf numFmtId="0" fontId="9" fillId="2" borderId="3" xfId="0" applyFont="1" applyFill="1" applyBorder="1" applyAlignment="1">
      <alignment horizontal="right" vertical="center" wrapText="1"/>
    </xf>
    <xf numFmtId="0" fontId="9" fillId="2" borderId="6" xfId="0" applyFont="1" applyFill="1" applyBorder="1" applyAlignment="1">
      <alignment horizontal="right" vertical="center" wrapText="1"/>
    </xf>
    <xf numFmtId="165" fontId="11" fillId="2" borderId="0" xfId="2" applyNumberFormat="1" applyFont="1" applyFill="1"/>
    <xf numFmtId="165" fontId="8" fillId="2" borderId="6" xfId="2" applyNumberFormat="1" applyFont="1" applyFill="1" applyBorder="1"/>
    <xf numFmtId="0" fontId="8" fillId="2" borderId="1" xfId="2" applyFont="1" applyFill="1" applyBorder="1" applyAlignment="1">
      <alignment horizontal="left"/>
    </xf>
    <xf numFmtId="0" fontId="8" fillId="2" borderId="6" xfId="2" applyFont="1" applyFill="1" applyBorder="1" applyAlignment="1">
      <alignment horizontal="left"/>
    </xf>
    <xf numFmtId="0" fontId="9" fillId="2" borderId="6" xfId="0" applyFont="1" applyFill="1" applyBorder="1" applyAlignment="1">
      <alignment horizontal="left" vertical="center"/>
    </xf>
    <xf numFmtId="165" fontId="5" fillId="3" borderId="0" xfId="3" applyNumberFormat="1" applyFont="1" applyFill="1" applyAlignment="1">
      <alignment horizontal="left"/>
    </xf>
    <xf numFmtId="0" fontId="8" fillId="2" borderId="0" xfId="2" applyFont="1" applyFill="1" applyAlignment="1">
      <alignment horizontal="left"/>
    </xf>
    <xf numFmtId="0" fontId="10" fillId="2" borderId="1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10" fillId="2" borderId="0" xfId="0" applyFont="1" applyFill="1" applyAlignment="1">
      <alignment horizontal="right" vertical="center"/>
    </xf>
    <xf numFmtId="9" fontId="8" fillId="2" borderId="0" xfId="1" applyFont="1" applyFill="1" applyAlignment="1"/>
    <xf numFmtId="0" fontId="10" fillId="2" borderId="1" xfId="0" applyFont="1" applyFill="1" applyBorder="1" applyAlignment="1">
      <alignment horizontal="right" vertical="center"/>
    </xf>
    <xf numFmtId="0" fontId="13" fillId="2" borderId="2" xfId="0" applyFont="1" applyFill="1" applyBorder="1" applyAlignment="1">
      <alignment horizontal="right" vertical="center" wrapText="1"/>
    </xf>
    <xf numFmtId="165" fontId="11" fillId="2" borderId="6" xfId="3" applyNumberFormat="1" applyFont="1" applyFill="1" applyBorder="1" applyAlignment="1">
      <alignment horizontal="left"/>
    </xf>
    <xf numFmtId="0" fontId="14" fillId="2" borderId="2" xfId="0" applyFont="1" applyFill="1" applyBorder="1" applyAlignment="1">
      <alignment horizontal="right" vertical="center" wrapText="1"/>
    </xf>
    <xf numFmtId="9" fontId="8" fillId="2" borderId="0" xfId="2" applyNumberFormat="1" applyFont="1" applyFill="1"/>
    <xf numFmtId="165" fontId="12" fillId="3" borderId="7" xfId="2" applyNumberFormat="1" applyFont="1" applyFill="1" applyBorder="1"/>
    <xf numFmtId="1" fontId="8" fillId="2" borderId="0" xfId="1" applyNumberFormat="1" applyFont="1" applyFill="1"/>
    <xf numFmtId="1" fontId="11" fillId="2" borderId="0" xfId="1" applyNumberFormat="1" applyFont="1" applyFill="1"/>
    <xf numFmtId="165" fontId="12" fillId="3" borderId="1" xfId="2" applyNumberFormat="1" applyFont="1" applyFill="1" applyBorder="1"/>
    <xf numFmtId="165" fontId="8" fillId="2" borderId="2" xfId="2" applyNumberFormat="1" applyFont="1" applyFill="1" applyBorder="1"/>
    <xf numFmtId="0" fontId="10" fillId="2" borderId="6" xfId="0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right" vertical="center" wrapText="1"/>
    </xf>
    <xf numFmtId="164" fontId="8" fillId="2" borderId="0" xfId="7" applyFont="1" applyFill="1"/>
    <xf numFmtId="164" fontId="5" fillId="3" borderId="4" xfId="7" applyFont="1" applyFill="1" applyBorder="1" applyAlignment="1">
      <alignment horizontal="left"/>
    </xf>
    <xf numFmtId="166" fontId="9" fillId="2" borderId="0" xfId="0" applyNumberFormat="1" applyFont="1" applyFill="1" applyAlignment="1">
      <alignment horizontal="right" vertical="center" wrapText="1"/>
    </xf>
    <xf numFmtId="2" fontId="9" fillId="2" borderId="0" xfId="0" applyNumberFormat="1" applyFont="1" applyFill="1" applyAlignment="1">
      <alignment horizontal="right" vertical="center" wrapText="1"/>
    </xf>
    <xf numFmtId="165" fontId="5" fillId="3" borderId="7" xfId="3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65" fontId="8" fillId="2" borderId="1" xfId="2" applyNumberFormat="1" applyFont="1" applyFill="1" applyBorder="1" applyAlignment="1">
      <alignment horizontal="center"/>
    </xf>
    <xf numFmtId="165" fontId="11" fillId="2" borderId="1" xfId="3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/>
    </xf>
    <xf numFmtId="1" fontId="8" fillId="2" borderId="0" xfId="7" applyNumberFormat="1" applyFont="1" applyFill="1"/>
    <xf numFmtId="0" fontId="15" fillId="2" borderId="2" xfId="0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center" vertical="center"/>
    </xf>
    <xf numFmtId="1" fontId="16" fillId="2" borderId="0" xfId="2" applyNumberFormat="1" applyFont="1" applyFill="1"/>
    <xf numFmtId="9" fontId="16" fillId="2" borderId="0" xfId="1" applyFont="1" applyFill="1" applyAlignment="1"/>
    <xf numFmtId="165" fontId="5" fillId="3" borderId="5" xfId="3" applyNumberFormat="1" applyFont="1" applyFill="1" applyBorder="1" applyAlignment="1">
      <alignment horizontal="center"/>
    </xf>
    <xf numFmtId="1" fontId="5" fillId="3" borderId="4" xfId="3" applyNumberFormat="1" applyFont="1" applyFill="1" applyBorder="1" applyAlignment="1">
      <alignment horizontal="center"/>
    </xf>
    <xf numFmtId="0" fontId="5" fillId="3" borderId="4" xfId="2" applyFont="1" applyFill="1" applyBorder="1" applyAlignment="1">
      <alignment horizontal="center"/>
    </xf>
    <xf numFmtId="0" fontId="17" fillId="3" borderId="4" xfId="2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 vertical="center" wrapText="1"/>
    </xf>
    <xf numFmtId="1" fontId="8" fillId="2" borderId="0" xfId="2" applyNumberFormat="1" applyFont="1" applyFill="1" applyAlignment="1">
      <alignment horizontal="center"/>
    </xf>
    <xf numFmtId="0" fontId="8" fillId="2" borderId="0" xfId="2" applyFont="1" applyFill="1" applyAlignment="1">
      <alignment horizontal="center"/>
    </xf>
    <xf numFmtId="1" fontId="11" fillId="2" borderId="0" xfId="2" applyNumberFormat="1" applyFont="1" applyFill="1" applyAlignment="1">
      <alignment horizontal="center"/>
    </xf>
    <xf numFmtId="167" fontId="8" fillId="2" borderId="0" xfId="2" applyNumberFormat="1" applyFont="1" applyFill="1"/>
    <xf numFmtId="0" fontId="10" fillId="2" borderId="0" xfId="0" applyFont="1" applyFill="1" applyAlignment="1">
      <alignment horizontal="center" vertical="center" wrapText="1"/>
    </xf>
    <xf numFmtId="1" fontId="8" fillId="2" borderId="0" xfId="1" applyNumberFormat="1" applyFont="1" applyFill="1" applyAlignment="1">
      <alignment horizontal="center"/>
    </xf>
    <xf numFmtId="1" fontId="11" fillId="2" borderId="0" xfId="1" applyNumberFormat="1" applyFont="1" applyFill="1" applyAlignment="1">
      <alignment horizontal="center"/>
    </xf>
    <xf numFmtId="165" fontId="11" fillId="2" borderId="6" xfId="3" applyNumberFormat="1" applyFont="1" applyFill="1" applyBorder="1" applyAlignment="1">
      <alignment horizontal="center"/>
    </xf>
    <xf numFmtId="165" fontId="8" fillId="2" borderId="6" xfId="2" applyNumberFormat="1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/>
    </xf>
    <xf numFmtId="168" fontId="8" fillId="2" borderId="0" xfId="2" applyNumberFormat="1" applyFont="1" applyFill="1"/>
    <xf numFmtId="169" fontId="8" fillId="2" borderId="0" xfId="2" applyNumberFormat="1" applyFont="1" applyFill="1"/>
    <xf numFmtId="170" fontId="8" fillId="2" borderId="0" xfId="2" applyNumberFormat="1" applyFont="1" applyFill="1"/>
    <xf numFmtId="166" fontId="8" fillId="2" borderId="0" xfId="2" applyNumberFormat="1" applyFont="1" applyFill="1"/>
    <xf numFmtId="171" fontId="8" fillId="2" borderId="0" xfId="2" applyNumberFormat="1" applyFont="1" applyFill="1"/>
    <xf numFmtId="172" fontId="8" fillId="2" borderId="0" xfId="2" applyNumberFormat="1" applyFont="1" applyFill="1"/>
  </cellXfs>
  <cellStyles count="8">
    <cellStyle name="Normal 10" xfId="6" xr:uid="{00000000-0005-0000-0000-000000000000}"/>
    <cellStyle name="Normal 2" xfId="2" xr:uid="{00000000-0005-0000-0000-000001000000}"/>
    <cellStyle name="Normal 3" xfId="4" xr:uid="{00000000-0005-0000-0000-000002000000}"/>
    <cellStyle name="Normal 5" xfId="5" xr:uid="{00000000-0005-0000-0000-000003000000}"/>
    <cellStyle name="Normal_Tabell till fig 17, 18, 19, 20, 22, 24 Elmarknaden (Till GA 10 okt) till ETC" xfId="3" xr:uid="{00000000-0005-0000-0000-000004000000}"/>
    <cellStyle name="Обычный" xfId="0" builtinId="0"/>
    <cellStyle name="Процентный" xfId="1" builtinId="5"/>
    <cellStyle name="Финансовый" xfId="7" builtinId="3"/>
  </cellStyles>
  <dxfs count="0"/>
  <tableStyles count="0" defaultTableStyle="TableStyleMedium2" defaultPivotStyle="PivotStyleLight16"/>
  <colors>
    <mruColors>
      <color rgb="FFC5C5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b615512/Downloads/energy-in-sweden-facts-and-figures_2022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sidan.energimyndigheten.se/samarbetsytor/samarbetsytor/Energil&#228;get/Energilget%202019/Energil&#228;get%20i%20siffror/ENERGIL&#196;GETBALANSEN%202018_2002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ownloads/SIB_WORLD%20BANK%20power%20sector%20reporting%20template_v20250127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nehåll"/>
      <sheetName val="Info"/>
      <sheetName val="1.1"/>
      <sheetName val="1.2"/>
      <sheetName val="1.3"/>
      <sheetName val="2.1"/>
      <sheetName val="2.2"/>
      <sheetName val="3.1"/>
      <sheetName val="3.2"/>
      <sheetName val="3.3"/>
      <sheetName val="3.4"/>
      <sheetName val="3.5"/>
      <sheetName val="3.6"/>
      <sheetName val="4.1"/>
      <sheetName val="4.2"/>
      <sheetName val="4.3"/>
      <sheetName val="4.4"/>
      <sheetName val="4.5"/>
      <sheetName val="4.6"/>
      <sheetName val="4.7"/>
      <sheetName val="5.1"/>
      <sheetName val="5.2"/>
      <sheetName val="5.3"/>
      <sheetName val="5.4"/>
      <sheetName val="5.5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6.11"/>
      <sheetName val="6.12"/>
      <sheetName val="6.13"/>
      <sheetName val="6.14"/>
      <sheetName val="6.15"/>
      <sheetName val="6.16"/>
      <sheetName val="7.1"/>
      <sheetName val="7.2"/>
      <sheetName val="8.1"/>
      <sheetName val="8.2"/>
      <sheetName val="8.3"/>
      <sheetName val="8.4"/>
      <sheetName val="8.5"/>
      <sheetName val="8.6"/>
      <sheetName val="8.7"/>
      <sheetName val="8.8"/>
      <sheetName val="8.9"/>
      <sheetName val="8.10"/>
      <sheetName val="8.11"/>
      <sheetName val="9.1"/>
      <sheetName val="9.2"/>
      <sheetName val="9.3"/>
      <sheetName val="9.4"/>
      <sheetName val="9.5"/>
      <sheetName val="9.6"/>
      <sheetName val="10.1"/>
      <sheetName val="10.2"/>
      <sheetName val="11.1"/>
      <sheetName val="11.2"/>
      <sheetName val="12.1"/>
      <sheetName val="12.2"/>
      <sheetName val="12.3"/>
      <sheetName val="12.4"/>
      <sheetName val="12.5"/>
      <sheetName val="12.6"/>
      <sheetName val="12.7"/>
      <sheetName val="13.1"/>
      <sheetName val="13.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3">
          <cell r="A3" t="str">
            <v>Electricity use, by sector, from 1970, TWh</v>
          </cell>
        </row>
      </sheetData>
      <sheetData sheetId="26">
        <row r="3">
          <cell r="A3" t="str">
            <v>Net electricity production, from 1970, TWh</v>
          </cell>
        </row>
      </sheetData>
      <sheetData sheetId="27">
        <row r="3">
          <cell r="A3" t="str">
            <v>Fuel used for electricity production, excluding nuclear fuel, from 1983, GWh</v>
          </cell>
        </row>
      </sheetData>
      <sheetData sheetId="28">
        <row r="3">
          <cell r="A3" t="str">
            <v>Wind power, number of turbines, capacity (MW) and production (GWh), from 1982</v>
          </cell>
        </row>
      </sheetData>
      <sheetData sheetId="29">
        <row r="3">
          <cell r="A3" t="str">
            <v>Electricity production by type of power in the electricity certificate system, from 2003, GWh</v>
          </cell>
        </row>
      </sheetData>
      <sheetData sheetId="30">
        <row r="3">
          <cell r="A3" t="str">
            <v>Electricity production capacity, from 1996, MW</v>
          </cell>
        </row>
      </sheetData>
      <sheetData sheetId="31">
        <row r="3">
          <cell r="A3" t="str">
            <v>Electricity trade with other countries, from 2010, GWh/week</v>
          </cell>
        </row>
      </sheetData>
      <sheetData sheetId="32">
        <row r="7">
          <cell r="D7" t="str">
            <v>Finland</v>
          </cell>
        </row>
      </sheetData>
      <sheetData sheetId="33"/>
      <sheetData sheetId="34"/>
      <sheetData sheetId="35"/>
      <sheetData sheetId="36"/>
      <sheetData sheetId="37"/>
      <sheetData sheetId="38">
        <row r="3">
          <cell r="A3" t="str">
            <v>Distribution of different types of contracts for household customers, from april 2004, percent</v>
          </cell>
        </row>
      </sheetData>
      <sheetData sheetId="39"/>
      <sheetData sheetId="40">
        <row r="3">
          <cell r="A3" t="str">
            <v>Net production of renewable electricity, from 1990, TWh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ktioner"/>
      <sheetName val="utveckling"/>
      <sheetName val="mer tabeller"/>
      <sheetName val="rubriker"/>
      <sheetName val="indata hist sifferläget"/>
      <sheetName val="jmf"/>
      <sheetName val="figur 7 ny"/>
      <sheetName val="Tabeller"/>
      <sheetName val="indata extra"/>
      <sheetName val="BoS"/>
      <sheetName val="indata"/>
      <sheetName val="ind"/>
      <sheetName val="transp"/>
      <sheetName val="balans"/>
      <sheetName val="olja"/>
      <sheetName val="fjv"/>
      <sheetName val="bio"/>
      <sheetName val="kol"/>
      <sheetName val="gas"/>
      <sheetName val="el"/>
      <sheetName val="indata hist ind"/>
      <sheetName val="indata hist arel"/>
      <sheetName val="beräkning"/>
      <sheetName val="Sektorsstrategier"/>
      <sheetName val="Blad1"/>
      <sheetName val="Blad2"/>
      <sheetName val="Indikator 1"/>
      <sheetName val="balans 2012 (TJ)"/>
      <sheetName val="kvv2012"/>
      <sheetName val="CO2fig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8">
          <cell r="D48" t="str">
            <v>biobränsle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4.7633886166123256</v>
          </cell>
          <cell r="AF48">
            <v>0</v>
          </cell>
          <cell r="AG48">
            <v>14.151</v>
          </cell>
          <cell r="AH48">
            <v>0.37500000000000006</v>
          </cell>
          <cell r="AI48">
            <v>1.163</v>
          </cell>
          <cell r="AJ48">
            <v>0.78175697000000011</v>
          </cell>
          <cell r="AK48">
            <v>0</v>
          </cell>
          <cell r="AL48">
            <v>1.4513077000000001</v>
          </cell>
          <cell r="AM48">
            <v>0.34889999999999999</v>
          </cell>
          <cell r="AN48">
            <v>2</v>
          </cell>
          <cell r="AO48">
            <v>6</v>
          </cell>
          <cell r="AP48">
            <v>8</v>
          </cell>
          <cell r="AQ48">
            <v>16</v>
          </cell>
          <cell r="AR48">
            <v>15</v>
          </cell>
          <cell r="AS48">
            <v>18</v>
          </cell>
          <cell r="AT48">
            <v>16</v>
          </cell>
          <cell r="AU48">
            <v>22</v>
          </cell>
          <cell r="AV48">
            <v>19</v>
          </cell>
          <cell r="AW48">
            <v>49</v>
          </cell>
          <cell r="AX48">
            <v>136</v>
          </cell>
          <cell r="AY48">
            <v>545</v>
          </cell>
          <cell r="AZ48">
            <v>666</v>
          </cell>
          <cell r="BA48">
            <v>751</v>
          </cell>
          <cell r="BB48">
            <v>1</v>
          </cell>
        </row>
        <row r="49">
          <cell r="D49" t="str">
            <v>kol</v>
          </cell>
          <cell r="Y49">
            <v>551.12534749999998</v>
          </cell>
          <cell r="Z49">
            <v>564.16548499999999</v>
          </cell>
          <cell r="AA49">
            <v>569.98630000000003</v>
          </cell>
          <cell r="AB49">
            <v>541.53990150000004</v>
          </cell>
          <cell r="AC49">
            <v>512.54921899999999</v>
          </cell>
          <cell r="AD49">
            <v>664.78242999999998</v>
          </cell>
          <cell r="AE49">
            <v>824.57612809351383</v>
          </cell>
          <cell r="AF49">
            <v>839.10450000000003</v>
          </cell>
          <cell r="AG49">
            <v>657.67650000000003</v>
          </cell>
          <cell r="AH49">
            <v>545.12877412499995</v>
          </cell>
          <cell r="AI49">
            <v>746.87860000000001</v>
          </cell>
          <cell r="AJ49">
            <v>700.00969999999995</v>
          </cell>
          <cell r="AK49">
            <v>823.9855</v>
          </cell>
          <cell r="AL49">
            <v>689.76657750000004</v>
          </cell>
          <cell r="AM49">
            <v>711.28091449999999</v>
          </cell>
          <cell r="AN49">
            <v>2778</v>
          </cell>
          <cell r="AO49">
            <v>2767</v>
          </cell>
          <cell r="AP49">
            <v>2895</v>
          </cell>
          <cell r="AQ49">
            <v>2931</v>
          </cell>
          <cell r="AR49">
            <v>2504</v>
          </cell>
          <cell r="AS49">
            <v>3931</v>
          </cell>
          <cell r="AT49">
            <v>4075</v>
          </cell>
          <cell r="AU49">
            <v>4080</v>
          </cell>
          <cell r="AV49">
            <v>4317</v>
          </cell>
          <cell r="AW49">
            <v>4343</v>
          </cell>
          <cell r="AX49">
            <v>4178</v>
          </cell>
          <cell r="AY49">
            <v>4350</v>
          </cell>
          <cell r="AZ49">
            <v>4489</v>
          </cell>
          <cell r="BA49">
            <v>3621</v>
          </cell>
          <cell r="BB49">
            <v>2</v>
          </cell>
        </row>
        <row r="50">
          <cell r="D50" t="str">
            <v>koks</v>
          </cell>
          <cell r="Y50">
            <v>499.38010479999991</v>
          </cell>
          <cell r="Z50">
            <v>20.571144</v>
          </cell>
          <cell r="AA50">
            <v>27.171052700000001</v>
          </cell>
          <cell r="AB50">
            <v>3.3817713999999999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3</v>
          </cell>
        </row>
        <row r="51">
          <cell r="D51" t="str">
            <v>gasol</v>
          </cell>
          <cell r="Y51">
            <v>45.428298100000006</v>
          </cell>
          <cell r="Z51">
            <v>55.662343</v>
          </cell>
          <cell r="AA51">
            <v>43.636922999999996</v>
          </cell>
          <cell r="AB51">
            <v>35.283093999999998</v>
          </cell>
          <cell r="AC51">
            <v>30.165893999999998</v>
          </cell>
          <cell r="AD51">
            <v>38.375650462558902</v>
          </cell>
          <cell r="AE51">
            <v>43.419441999999997</v>
          </cell>
          <cell r="AF51">
            <v>14.584019999999997</v>
          </cell>
          <cell r="AG51">
            <v>14.517496399999999</v>
          </cell>
          <cell r="AH51">
            <v>18.936838250000001</v>
          </cell>
          <cell r="AI51">
            <v>20.468800000000002</v>
          </cell>
          <cell r="AJ51">
            <v>25.585999999999999</v>
          </cell>
          <cell r="AK51">
            <v>25.586200000000002</v>
          </cell>
          <cell r="AL51">
            <v>20.817571975000003</v>
          </cell>
          <cell r="AM51">
            <v>16.208857699999999</v>
          </cell>
          <cell r="AN51">
            <v>68</v>
          </cell>
          <cell r="AO51">
            <v>97</v>
          </cell>
          <cell r="AP51">
            <v>99</v>
          </cell>
          <cell r="AQ51">
            <v>108</v>
          </cell>
          <cell r="AR51">
            <v>97</v>
          </cell>
          <cell r="AS51">
            <v>166</v>
          </cell>
          <cell r="AT51">
            <v>112</v>
          </cell>
          <cell r="AU51">
            <v>114</v>
          </cell>
          <cell r="AV51">
            <v>112</v>
          </cell>
          <cell r="AW51">
            <v>140</v>
          </cell>
          <cell r="AX51">
            <v>108</v>
          </cell>
          <cell r="AY51">
            <v>159</v>
          </cell>
          <cell r="AZ51">
            <v>168</v>
          </cell>
          <cell r="BA51">
            <v>194</v>
          </cell>
          <cell r="BB51">
            <v>4</v>
          </cell>
        </row>
        <row r="52">
          <cell r="D52" t="str">
            <v>bensin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1</v>
          </cell>
          <cell r="AX52">
            <v>0</v>
          </cell>
          <cell r="AY52">
            <v>1</v>
          </cell>
          <cell r="AZ52">
            <v>1</v>
          </cell>
          <cell r="BA52">
            <v>0</v>
          </cell>
          <cell r="BB52">
            <v>5</v>
          </cell>
        </row>
        <row r="53">
          <cell r="D53" t="str">
            <v>lättoljor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6</v>
          </cell>
        </row>
        <row r="54">
          <cell r="D54" t="str">
            <v>diesel</v>
          </cell>
          <cell r="Y54">
            <v>77.591289500000002</v>
          </cell>
          <cell r="Z54">
            <v>45.433758000000005</v>
          </cell>
          <cell r="AA54">
            <v>31.771997000000002</v>
          </cell>
          <cell r="AB54">
            <v>36.309441499999998</v>
          </cell>
          <cell r="AC54">
            <v>33.462417500000001</v>
          </cell>
          <cell r="AD54">
            <v>33.076883000000002</v>
          </cell>
          <cell r="AE54">
            <v>27.155468500000001</v>
          </cell>
          <cell r="AF54">
            <v>68.384275153703527</v>
          </cell>
          <cell r="AG54">
            <v>45.064747793385841</v>
          </cell>
          <cell r="AH54">
            <v>37.026662405634127</v>
          </cell>
          <cell r="AI54">
            <v>53.381700000000002</v>
          </cell>
          <cell r="AJ54">
            <v>99.63300000000001</v>
          </cell>
          <cell r="AK54">
            <v>69.743099999999998</v>
          </cell>
          <cell r="AL54">
            <v>71.445130539000004</v>
          </cell>
          <cell r="AM54">
            <v>60.736276800000006</v>
          </cell>
          <cell r="AN54">
            <v>263</v>
          </cell>
          <cell r="AO54">
            <v>274</v>
          </cell>
          <cell r="AP54">
            <v>231</v>
          </cell>
          <cell r="AQ54">
            <v>463</v>
          </cell>
          <cell r="AR54">
            <v>299</v>
          </cell>
          <cell r="AS54">
            <v>384</v>
          </cell>
          <cell r="AT54">
            <v>293</v>
          </cell>
          <cell r="AU54">
            <v>285</v>
          </cell>
          <cell r="AV54">
            <v>168</v>
          </cell>
          <cell r="AW54">
            <v>278</v>
          </cell>
          <cell r="AX54">
            <v>553</v>
          </cell>
          <cell r="AY54">
            <v>1583</v>
          </cell>
          <cell r="AZ54">
            <v>1690</v>
          </cell>
          <cell r="BA54">
            <v>1718</v>
          </cell>
          <cell r="BB54">
            <v>7</v>
          </cell>
        </row>
        <row r="55">
          <cell r="D55" t="str">
            <v>eo1</v>
          </cell>
          <cell r="Y55">
            <v>136.66703749999999</v>
          </cell>
          <cell r="Z55">
            <v>118.54691600000001</v>
          </cell>
          <cell r="AA55">
            <v>99.319618500000004</v>
          </cell>
          <cell r="AB55">
            <v>107.297217</v>
          </cell>
          <cell r="AC55">
            <v>106.1801555</v>
          </cell>
          <cell r="AD55">
            <v>154.37196800000001</v>
          </cell>
          <cell r="AE55">
            <v>124.80443750000001</v>
          </cell>
          <cell r="AF55">
            <v>125.94127</v>
          </cell>
          <cell r="AG55">
            <v>171.95530685</v>
          </cell>
          <cell r="AH55">
            <v>205.19035785000003</v>
          </cell>
          <cell r="AI55">
            <v>160.14510000000001</v>
          </cell>
          <cell r="AJ55">
            <v>179.33940000000001</v>
          </cell>
          <cell r="AK55">
            <v>99.63300000000001</v>
          </cell>
          <cell r="AL55">
            <v>121.25495512799999</v>
          </cell>
          <cell r="AM55">
            <v>169.37610000000001</v>
          </cell>
          <cell r="AN55">
            <v>411</v>
          </cell>
          <cell r="AO55">
            <v>411</v>
          </cell>
          <cell r="AP55">
            <v>646</v>
          </cell>
          <cell r="AQ55">
            <v>758</v>
          </cell>
          <cell r="AR55">
            <v>758</v>
          </cell>
          <cell r="AS55">
            <v>653</v>
          </cell>
          <cell r="AT55">
            <v>563</v>
          </cell>
          <cell r="AU55">
            <v>624</v>
          </cell>
          <cell r="AV55">
            <v>544</v>
          </cell>
          <cell r="AW55">
            <v>555</v>
          </cell>
          <cell r="AX55">
            <v>531</v>
          </cell>
          <cell r="AY55">
            <v>512</v>
          </cell>
          <cell r="AZ55">
            <v>578</v>
          </cell>
          <cell r="BA55">
            <v>749</v>
          </cell>
          <cell r="BB55">
            <v>8</v>
          </cell>
        </row>
        <row r="56">
          <cell r="D56" t="str">
            <v>eo2-6</v>
          </cell>
          <cell r="Y56">
            <v>654.59989979999989</v>
          </cell>
          <cell r="Z56">
            <v>451.50974549999995</v>
          </cell>
          <cell r="AA56">
            <v>433.80411719999995</v>
          </cell>
          <cell r="AB56">
            <v>407.37246571006494</v>
          </cell>
          <cell r="AC56">
            <v>520.03928789999998</v>
          </cell>
          <cell r="AD56">
            <v>624.89943840000001</v>
          </cell>
          <cell r="AE56">
            <v>577.28784659999997</v>
          </cell>
          <cell r="AF56">
            <v>512.97650519999991</v>
          </cell>
          <cell r="AG56">
            <v>619.31843399999991</v>
          </cell>
          <cell r="AH56">
            <v>628.77044900999999</v>
          </cell>
          <cell r="AI56">
            <v>832.82429999999999</v>
          </cell>
          <cell r="AJ56">
            <v>614.30119999999999</v>
          </cell>
          <cell r="AK56">
            <v>444.83879999999999</v>
          </cell>
          <cell r="AL56">
            <v>437.71817150000004</v>
          </cell>
          <cell r="AM56">
            <v>402.154</v>
          </cell>
          <cell r="AN56">
            <v>1493</v>
          </cell>
          <cell r="AO56">
            <v>1682</v>
          </cell>
          <cell r="AP56">
            <v>1963</v>
          </cell>
          <cell r="AQ56">
            <v>2377</v>
          </cell>
          <cell r="AR56">
            <v>1650</v>
          </cell>
          <cell r="AS56">
            <v>2376</v>
          </cell>
          <cell r="AT56">
            <v>2388</v>
          </cell>
          <cell r="AU56">
            <v>2403</v>
          </cell>
          <cell r="AV56">
            <v>1895</v>
          </cell>
          <cell r="AW56">
            <v>1908</v>
          </cell>
          <cell r="AX56">
            <v>1496</v>
          </cell>
          <cell r="AY56">
            <v>1604</v>
          </cell>
          <cell r="AZ56">
            <v>1619</v>
          </cell>
          <cell r="BA56">
            <v>2114</v>
          </cell>
          <cell r="BB56">
            <v>9</v>
          </cell>
        </row>
        <row r="57">
          <cell r="D57" t="str">
            <v>övriga petroleumprodukter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10</v>
          </cell>
        </row>
        <row r="58">
          <cell r="D58" t="str">
            <v>naturgas</v>
          </cell>
          <cell r="Y58">
            <v>20.411999999999999</v>
          </cell>
          <cell r="Z58">
            <v>10.26</v>
          </cell>
          <cell r="AA58">
            <v>13.327200000000001</v>
          </cell>
          <cell r="AB58">
            <v>13.462200000000001</v>
          </cell>
          <cell r="AC58">
            <v>1.1761200000000001</v>
          </cell>
          <cell r="AD58">
            <v>0.71928000000000003</v>
          </cell>
          <cell r="AE58">
            <v>2.0120399999999998</v>
          </cell>
          <cell r="AF58">
            <v>7.6204800000000006</v>
          </cell>
          <cell r="AG58">
            <v>13.52538</v>
          </cell>
          <cell r="AH58">
            <v>17.89452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1</v>
          </cell>
          <cell r="AO58">
            <v>26</v>
          </cell>
          <cell r="AP58">
            <v>26</v>
          </cell>
          <cell r="AQ58">
            <v>26</v>
          </cell>
          <cell r="AR58">
            <v>25</v>
          </cell>
          <cell r="AS58">
            <v>26</v>
          </cell>
          <cell r="AT58">
            <v>26</v>
          </cell>
          <cell r="AU58">
            <v>1</v>
          </cell>
          <cell r="AV58">
            <v>1</v>
          </cell>
          <cell r="AW58">
            <v>1</v>
          </cell>
          <cell r="AX58">
            <v>117</v>
          </cell>
          <cell r="AY58">
            <v>152</v>
          </cell>
          <cell r="AZ58">
            <v>134</v>
          </cell>
          <cell r="BA58">
            <v>163</v>
          </cell>
          <cell r="BB58">
            <v>11</v>
          </cell>
        </row>
        <row r="59">
          <cell r="D59" t="str">
            <v>stadsgas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12</v>
          </cell>
        </row>
        <row r="60">
          <cell r="D60" t="str">
            <v>masugnsgas m.m.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13</v>
          </cell>
        </row>
        <row r="61">
          <cell r="D61" t="str">
            <v>övriga bränslen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8.141000000000001E-2</v>
          </cell>
          <cell r="AI61">
            <v>0</v>
          </cell>
          <cell r="AJ61">
            <v>0.25756844700000003</v>
          </cell>
          <cell r="AK61">
            <v>1.6282E-3</v>
          </cell>
          <cell r="AL61">
            <v>4.6868899999999998E-2</v>
          </cell>
          <cell r="AM61">
            <v>1.6282E-3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14</v>
          </cell>
        </row>
        <row r="62">
          <cell r="D62" t="str">
            <v>fjärrvärme</v>
          </cell>
          <cell r="Y62">
            <v>7.2720000000000002</v>
          </cell>
          <cell r="Z62">
            <v>12.997999999999999</v>
          </cell>
          <cell r="AA62">
            <v>11.98</v>
          </cell>
          <cell r="AB62">
            <v>1.2812089185336473</v>
          </cell>
          <cell r="AC62">
            <v>13.289448614380369</v>
          </cell>
          <cell r="AD62">
            <v>10.214682276311599</v>
          </cell>
          <cell r="AE62">
            <v>12.446127303540619</v>
          </cell>
          <cell r="AF62">
            <v>0.683141242714006</v>
          </cell>
          <cell r="AG62">
            <v>0.57299999999999995</v>
          </cell>
          <cell r="AH62">
            <v>0.9042</v>
          </cell>
          <cell r="AI62">
            <v>0.71471879327482313</v>
          </cell>
          <cell r="AJ62">
            <v>0.56305866178466013</v>
          </cell>
          <cell r="AK62">
            <v>0.57274488094404774</v>
          </cell>
          <cell r="AL62">
            <v>9</v>
          </cell>
          <cell r="AM62">
            <v>4</v>
          </cell>
          <cell r="AN62">
            <v>31</v>
          </cell>
          <cell r="AO62">
            <v>33</v>
          </cell>
          <cell r="AP62">
            <v>25</v>
          </cell>
          <cell r="AQ62">
            <v>3</v>
          </cell>
          <cell r="AR62">
            <v>5</v>
          </cell>
          <cell r="AS62">
            <v>29</v>
          </cell>
          <cell r="AT62">
            <v>30</v>
          </cell>
          <cell r="AU62">
            <v>34</v>
          </cell>
          <cell r="AV62">
            <v>24</v>
          </cell>
          <cell r="AW62">
            <v>20</v>
          </cell>
          <cell r="AX62">
            <v>18</v>
          </cell>
          <cell r="AY62">
            <v>17</v>
          </cell>
          <cell r="AZ62">
            <v>18</v>
          </cell>
          <cell r="BA62">
            <v>17</v>
          </cell>
          <cell r="BB62">
            <v>15</v>
          </cell>
        </row>
        <row r="63">
          <cell r="D63" t="str">
            <v>el</v>
          </cell>
          <cell r="Y63">
            <v>2385.4360000000001</v>
          </cell>
          <cell r="Z63">
            <v>2472.9459999999999</v>
          </cell>
          <cell r="AA63">
            <v>2245.9679999999998</v>
          </cell>
          <cell r="AB63">
            <v>2243.279</v>
          </cell>
          <cell r="AC63">
            <v>2307.299</v>
          </cell>
          <cell r="AD63">
            <v>2446.5549999999998</v>
          </cell>
          <cell r="AE63">
            <v>2516.4450000000002</v>
          </cell>
          <cell r="AF63">
            <v>2558.4457992704151</v>
          </cell>
          <cell r="AG63">
            <v>2583.9252941664931</v>
          </cell>
          <cell r="AH63">
            <v>2452.0893399234501</v>
          </cell>
          <cell r="AI63">
            <v>2598</v>
          </cell>
          <cell r="AJ63">
            <v>2546</v>
          </cell>
          <cell r="AK63">
            <v>2572</v>
          </cell>
          <cell r="AL63">
            <v>2583</v>
          </cell>
          <cell r="AM63">
            <v>2515</v>
          </cell>
          <cell r="AN63">
            <v>9221</v>
          </cell>
          <cell r="AO63">
            <v>9156</v>
          </cell>
          <cell r="AP63">
            <v>9822</v>
          </cell>
          <cell r="AQ63">
            <v>9988</v>
          </cell>
          <cell r="AR63">
            <v>8724</v>
          </cell>
          <cell r="AS63">
            <v>11390</v>
          </cell>
          <cell r="AT63">
            <v>11970</v>
          </cell>
          <cell r="AU63">
            <v>11840</v>
          </cell>
          <cell r="AV63">
            <v>13327</v>
          </cell>
          <cell r="AW63">
            <v>12887</v>
          </cell>
          <cell r="AX63">
            <v>12707</v>
          </cell>
          <cell r="AY63">
            <v>13005</v>
          </cell>
          <cell r="AZ63">
            <v>13417</v>
          </cell>
          <cell r="BA63">
            <v>13419</v>
          </cell>
          <cell r="BB63">
            <v>16</v>
          </cell>
        </row>
        <row r="64">
          <cell r="D64" t="str">
            <v>totalt</v>
          </cell>
          <cell r="Y64">
            <v>4377.9119772000004</v>
          </cell>
          <cell r="Z64">
            <v>3752.0933914999996</v>
          </cell>
          <cell r="AA64">
            <v>3476.9652083999999</v>
          </cell>
          <cell r="AB64">
            <v>3389.2063000285989</v>
          </cell>
          <cell r="AC64">
            <v>3524.16154251438</v>
          </cell>
          <cell r="AD64">
            <v>3972.9953321388703</v>
          </cell>
          <cell r="AE64">
            <v>4132.9098786136674</v>
          </cell>
          <cell r="AF64">
            <v>4127.7399908668322</v>
          </cell>
          <cell r="AG64">
            <v>4120.7071592098791</v>
          </cell>
          <cell r="AH64">
            <v>3906.3975515640841</v>
          </cell>
          <cell r="AI64">
            <v>4413.5762187932751</v>
          </cell>
          <cell r="AJ64">
            <v>4166.4716840787851</v>
          </cell>
          <cell r="AK64">
            <v>4036.3609730809439</v>
          </cell>
          <cell r="AL64">
            <v>3934.5005832420002</v>
          </cell>
          <cell r="AM64">
            <v>3879.1066771999999</v>
          </cell>
          <cell r="AN64">
            <v>14268</v>
          </cell>
          <cell r="AO64">
            <v>14452</v>
          </cell>
          <cell r="AP64">
            <v>15715</v>
          </cell>
          <cell r="AQ64">
            <v>16670</v>
          </cell>
          <cell r="AR64">
            <v>14077</v>
          </cell>
          <cell r="AS64">
            <v>18973</v>
          </cell>
          <cell r="AT64">
            <v>19473</v>
          </cell>
          <cell r="AU64">
            <v>19403</v>
          </cell>
          <cell r="AV64">
            <v>20407</v>
          </cell>
          <cell r="AW64">
            <v>20182</v>
          </cell>
          <cell r="AX64">
            <v>19844</v>
          </cell>
          <cell r="AY64">
            <v>21928</v>
          </cell>
          <cell r="AZ64">
            <v>22780</v>
          </cell>
          <cell r="BA64">
            <v>22746</v>
          </cell>
          <cell r="BB64">
            <v>17</v>
          </cell>
        </row>
        <row r="66">
          <cell r="D66" t="str">
            <v>biobränsle</v>
          </cell>
          <cell r="Y66">
            <v>46.52</v>
          </cell>
          <cell r="Z66">
            <v>46.52</v>
          </cell>
          <cell r="AA66">
            <v>34.89</v>
          </cell>
          <cell r="AB66">
            <v>46.52</v>
          </cell>
          <cell r="AC66">
            <v>0</v>
          </cell>
          <cell r="AD66">
            <v>23.26</v>
          </cell>
          <cell r="AE66">
            <v>303.16368441780787</v>
          </cell>
          <cell r="AF66">
            <v>76.849728349070134</v>
          </cell>
          <cell r="AG66">
            <v>113.34525000000001</v>
          </cell>
          <cell r="AH66">
            <v>440.14722083333345</v>
          </cell>
          <cell r="AI66">
            <v>79.084000000000003</v>
          </cell>
          <cell r="AJ66">
            <v>43.829120380000006</v>
          </cell>
          <cell r="AK66">
            <v>23.26</v>
          </cell>
          <cell r="AL66">
            <v>23.26</v>
          </cell>
          <cell r="AM66">
            <v>8.8853200000000001</v>
          </cell>
          <cell r="AN66">
            <v>234</v>
          </cell>
          <cell r="AO66">
            <v>764</v>
          </cell>
          <cell r="AP66">
            <v>1071</v>
          </cell>
          <cell r="AQ66">
            <v>1637</v>
          </cell>
          <cell r="AR66">
            <v>1377</v>
          </cell>
          <cell r="AS66">
            <v>1476</v>
          </cell>
          <cell r="AT66">
            <v>1048</v>
          </cell>
          <cell r="AU66">
            <v>1176</v>
          </cell>
          <cell r="AV66">
            <v>1304</v>
          </cell>
          <cell r="AW66">
            <v>1661</v>
          </cell>
          <cell r="AX66">
            <v>1434</v>
          </cell>
          <cell r="AY66">
            <v>1717</v>
          </cell>
          <cell r="AZ66">
            <v>2152</v>
          </cell>
          <cell r="BA66">
            <v>1854</v>
          </cell>
          <cell r="BB66">
            <v>19</v>
          </cell>
        </row>
        <row r="67">
          <cell r="D67" t="str">
            <v>kol</v>
          </cell>
          <cell r="Y67">
            <v>317.95257000000004</v>
          </cell>
          <cell r="Z67">
            <v>167.97208999999998</v>
          </cell>
          <cell r="AA67">
            <v>123.68853899999999</v>
          </cell>
          <cell r="AB67">
            <v>180.3923485</v>
          </cell>
          <cell r="AC67">
            <v>180.838359</v>
          </cell>
          <cell r="AD67">
            <v>204.31060650000001</v>
          </cell>
          <cell r="AE67">
            <v>208.17247852499671</v>
          </cell>
          <cell r="AF67">
            <v>158.74950000000001</v>
          </cell>
          <cell r="AG67">
            <v>143.63049999999998</v>
          </cell>
          <cell r="AH67">
            <v>149.67054049999999</v>
          </cell>
          <cell r="AI67">
            <v>145.89834999999999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20</v>
          </cell>
          <cell r="AO67">
            <v>16</v>
          </cell>
          <cell r="AP67">
            <v>1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20</v>
          </cell>
        </row>
        <row r="68">
          <cell r="D68" t="str">
            <v>koks</v>
          </cell>
          <cell r="Y68">
            <v>52.472001399999996</v>
          </cell>
          <cell r="Z68">
            <v>80.889790099999999</v>
          </cell>
          <cell r="AA68">
            <v>126.13072270000001</v>
          </cell>
          <cell r="AB68">
            <v>157.89132230000001</v>
          </cell>
          <cell r="AC68">
            <v>140.30529468256162</v>
          </cell>
          <cell r="AD68">
            <v>144.42727496234681</v>
          </cell>
          <cell r="AE68">
            <v>38.960499999999996</v>
          </cell>
          <cell r="AF68">
            <v>31.168399999999998</v>
          </cell>
          <cell r="AG68">
            <v>38.960499999999996</v>
          </cell>
          <cell r="AH68">
            <v>38.960499999999996</v>
          </cell>
          <cell r="AI68">
            <v>13.246569999999998</v>
          </cell>
          <cell r="AJ68">
            <v>14.025779999999999</v>
          </cell>
          <cell r="AK68">
            <v>15.584199999999999</v>
          </cell>
          <cell r="AL68">
            <v>12.327102200000001</v>
          </cell>
          <cell r="AM68">
            <v>11.2440003</v>
          </cell>
          <cell r="AN68">
            <v>77</v>
          </cell>
          <cell r="AO68">
            <v>92</v>
          </cell>
          <cell r="AP68">
            <v>94</v>
          </cell>
          <cell r="AQ68">
            <v>96</v>
          </cell>
          <cell r="AR68">
            <v>104</v>
          </cell>
          <cell r="AS68">
            <v>78</v>
          </cell>
          <cell r="AT68">
            <v>126</v>
          </cell>
          <cell r="AU68">
            <v>99</v>
          </cell>
          <cell r="AV68">
            <v>98</v>
          </cell>
          <cell r="AW68">
            <v>109</v>
          </cell>
          <cell r="AX68">
            <v>50</v>
          </cell>
          <cell r="AY68">
            <v>89</v>
          </cell>
          <cell r="AZ68">
            <v>97</v>
          </cell>
          <cell r="BA68">
            <v>95</v>
          </cell>
          <cell r="BB68">
            <v>21</v>
          </cell>
        </row>
        <row r="69">
          <cell r="D69" t="str">
            <v>gasol</v>
          </cell>
          <cell r="Y69">
            <v>240.63821100000001</v>
          </cell>
          <cell r="Z69">
            <v>345.92271999999997</v>
          </cell>
          <cell r="AA69">
            <v>404.629797</v>
          </cell>
          <cell r="AB69">
            <v>505.70729</v>
          </cell>
          <cell r="AC69">
            <v>530.39778000000001</v>
          </cell>
          <cell r="AD69">
            <v>384.65083112235988</v>
          </cell>
          <cell r="AE69">
            <v>451.00442199999992</v>
          </cell>
          <cell r="AF69">
            <v>463.56368939637406</v>
          </cell>
          <cell r="AG69">
            <v>458.22607049999999</v>
          </cell>
          <cell r="AH69">
            <v>417.41130106805548</v>
          </cell>
          <cell r="AI69">
            <v>309.59059999999999</v>
          </cell>
          <cell r="AJ69">
            <v>243.06699999999998</v>
          </cell>
          <cell r="AK69">
            <v>294.24130000000002</v>
          </cell>
          <cell r="AL69">
            <v>277.66272171000003</v>
          </cell>
          <cell r="AM69">
            <v>287.06437090000003</v>
          </cell>
          <cell r="AN69">
            <v>715</v>
          </cell>
          <cell r="AO69">
            <v>750</v>
          </cell>
          <cell r="AP69">
            <v>804</v>
          </cell>
          <cell r="AQ69">
            <v>776</v>
          </cell>
          <cell r="AR69">
            <v>888</v>
          </cell>
          <cell r="AS69">
            <v>958</v>
          </cell>
          <cell r="AT69">
            <v>1021</v>
          </cell>
          <cell r="AU69">
            <v>966</v>
          </cell>
          <cell r="AV69">
            <v>964</v>
          </cell>
          <cell r="AW69">
            <v>1143</v>
          </cell>
          <cell r="AX69">
            <v>1003</v>
          </cell>
          <cell r="AY69">
            <v>1053</v>
          </cell>
          <cell r="AZ69">
            <v>1091</v>
          </cell>
          <cell r="BA69">
            <v>1088</v>
          </cell>
          <cell r="BB69">
            <v>22</v>
          </cell>
        </row>
        <row r="70">
          <cell r="D70" t="str">
            <v>bensin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1</v>
          </cell>
          <cell r="AO70">
            <v>0</v>
          </cell>
          <cell r="AP70">
            <v>0</v>
          </cell>
          <cell r="AQ70">
            <v>1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1</v>
          </cell>
          <cell r="BA70">
            <v>1</v>
          </cell>
          <cell r="BB70">
            <v>23</v>
          </cell>
        </row>
        <row r="71">
          <cell r="D71" t="str">
            <v>lättoljor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24</v>
          </cell>
        </row>
        <row r="72">
          <cell r="D72" t="str">
            <v>diesel</v>
          </cell>
          <cell r="Y72">
            <v>2.3033215</v>
          </cell>
          <cell r="Z72">
            <v>1.4729395000000001</v>
          </cell>
          <cell r="AA72">
            <v>2.9359934999999999</v>
          </cell>
          <cell r="AB72">
            <v>2.9261080000000002</v>
          </cell>
          <cell r="AC72">
            <v>7.5426365000000004</v>
          </cell>
          <cell r="AD72">
            <v>6.4156895</v>
          </cell>
          <cell r="AE72">
            <v>3.8355740000000003</v>
          </cell>
          <cell r="AF72">
            <v>11.55736215477701</v>
          </cell>
          <cell r="AG72">
            <v>25.395922454652446</v>
          </cell>
          <cell r="AH72">
            <v>28.760994492889743</v>
          </cell>
          <cell r="AI72">
            <v>37.564900000000002</v>
          </cell>
          <cell r="AJ72">
            <v>19.926600000000001</v>
          </cell>
          <cell r="AK72">
            <v>9.9633000000000003</v>
          </cell>
          <cell r="AL72">
            <v>9.1400325210000002</v>
          </cell>
          <cell r="AM72">
            <v>2.7299442000000003</v>
          </cell>
          <cell r="AN72">
            <v>14</v>
          </cell>
          <cell r="AO72">
            <v>5</v>
          </cell>
          <cell r="AP72">
            <v>6</v>
          </cell>
          <cell r="AQ72">
            <v>13</v>
          </cell>
          <cell r="AR72">
            <v>11</v>
          </cell>
          <cell r="AS72">
            <v>4</v>
          </cell>
          <cell r="AT72">
            <v>10</v>
          </cell>
          <cell r="AU72">
            <v>8</v>
          </cell>
          <cell r="AV72">
            <v>4</v>
          </cell>
          <cell r="AW72">
            <v>22</v>
          </cell>
          <cell r="AX72">
            <v>19</v>
          </cell>
          <cell r="AY72">
            <v>58</v>
          </cell>
          <cell r="AZ72">
            <v>32</v>
          </cell>
          <cell r="BA72">
            <v>36</v>
          </cell>
          <cell r="BB72">
            <v>25</v>
          </cell>
        </row>
        <row r="73">
          <cell r="D73" t="str">
            <v>eo1</v>
          </cell>
          <cell r="Y73">
            <v>511.27805999999998</v>
          </cell>
          <cell r="Z73">
            <v>460.189796</v>
          </cell>
          <cell r="AA73">
            <v>462.16689600000007</v>
          </cell>
          <cell r="AB73">
            <v>481.92801049999997</v>
          </cell>
          <cell r="AC73">
            <v>506.54290550000002</v>
          </cell>
          <cell r="AD73">
            <v>509.66672350000005</v>
          </cell>
          <cell r="AE73">
            <v>622.48993500000006</v>
          </cell>
          <cell r="AF73">
            <v>616.92439849999994</v>
          </cell>
          <cell r="AG73">
            <v>632.96559934999993</v>
          </cell>
          <cell r="AH73">
            <v>729.47055111929467</v>
          </cell>
          <cell r="AI73">
            <v>600.04985000000011</v>
          </cell>
          <cell r="AJ73">
            <v>607.76130000000001</v>
          </cell>
          <cell r="AK73">
            <v>597.798</v>
          </cell>
          <cell r="AL73">
            <v>691.92318812700012</v>
          </cell>
          <cell r="AM73">
            <v>498.16500000000002</v>
          </cell>
          <cell r="AN73">
            <v>1677</v>
          </cell>
          <cell r="AO73">
            <v>1686</v>
          </cell>
          <cell r="AP73">
            <v>1482</v>
          </cell>
          <cell r="AQ73">
            <v>1549</v>
          </cell>
          <cell r="AR73">
            <v>1406</v>
          </cell>
          <cell r="AS73">
            <v>1342</v>
          </cell>
          <cell r="AT73">
            <v>1248</v>
          </cell>
          <cell r="AU73">
            <v>1068</v>
          </cell>
          <cell r="AV73">
            <v>1034</v>
          </cell>
          <cell r="AW73">
            <v>890</v>
          </cell>
          <cell r="AX73">
            <v>781</v>
          </cell>
          <cell r="AY73">
            <v>706</v>
          </cell>
          <cell r="AZ73">
            <v>643</v>
          </cell>
          <cell r="BA73">
            <v>639</v>
          </cell>
          <cell r="BB73">
            <v>26</v>
          </cell>
        </row>
        <row r="74">
          <cell r="D74" t="str">
            <v>eo2-6</v>
          </cell>
          <cell r="Y74">
            <v>1470.7677137999999</v>
          </cell>
          <cell r="Z74">
            <v>1168.1820954</v>
          </cell>
          <cell r="AA74">
            <v>1013.4498299999999</v>
          </cell>
          <cell r="AB74">
            <v>1017.5411324826692</v>
          </cell>
          <cell r="AC74">
            <v>1028.8733033999999</v>
          </cell>
          <cell r="AD74">
            <v>1245.5049644999999</v>
          </cell>
          <cell r="AE74">
            <v>1112.1016539</v>
          </cell>
          <cell r="AF74">
            <v>1171.7720336869565</v>
          </cell>
          <cell r="AG74">
            <v>860.53247262000002</v>
          </cell>
          <cell r="AH74">
            <v>863.05726420999986</v>
          </cell>
          <cell r="AI74">
            <v>890.14856999999995</v>
          </cell>
          <cell r="AJ74">
            <v>709.62379999999996</v>
          </cell>
          <cell r="AK74">
            <v>773.17219999999998</v>
          </cell>
          <cell r="AL74">
            <v>892.47888870999998</v>
          </cell>
          <cell r="AM74">
            <v>772.55899999999997</v>
          </cell>
          <cell r="AN74">
            <v>2049</v>
          </cell>
          <cell r="AO74">
            <v>1528</v>
          </cell>
          <cell r="AP74">
            <v>1169</v>
          </cell>
          <cell r="AQ74">
            <v>1139</v>
          </cell>
          <cell r="AR74">
            <v>1149</v>
          </cell>
          <cell r="AS74">
            <v>1103</v>
          </cell>
          <cell r="AT74">
            <v>819</v>
          </cell>
          <cell r="AU74">
            <v>848</v>
          </cell>
          <cell r="AV74">
            <v>658</v>
          </cell>
          <cell r="AW74">
            <v>549</v>
          </cell>
          <cell r="AX74">
            <v>411</v>
          </cell>
          <cell r="AY74">
            <v>277</v>
          </cell>
          <cell r="AZ74">
            <v>273</v>
          </cell>
          <cell r="BA74">
            <v>103</v>
          </cell>
          <cell r="BB74">
            <v>27</v>
          </cell>
        </row>
        <row r="75">
          <cell r="D75" t="str">
            <v>övriga petroleumprodukter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28</v>
          </cell>
        </row>
        <row r="76">
          <cell r="D76" t="str">
            <v>naturgas</v>
          </cell>
          <cell r="Y76">
            <v>1136.9808</v>
          </cell>
          <cell r="Z76">
            <v>998.8488000000001</v>
          </cell>
          <cell r="AA76">
            <v>1068.3684000000001</v>
          </cell>
          <cell r="AB76">
            <v>981.19512000000009</v>
          </cell>
          <cell r="AC76">
            <v>945.46440000000007</v>
          </cell>
          <cell r="AD76">
            <v>1015.04988</v>
          </cell>
          <cell r="AE76">
            <v>1093.10148</v>
          </cell>
          <cell r="AF76">
            <v>1039.3158664514879</v>
          </cell>
          <cell r="AG76">
            <v>1068.6420720000001</v>
          </cell>
          <cell r="AH76">
            <v>1399.7884752</v>
          </cell>
          <cell r="AI76">
            <v>1177.0920000000001</v>
          </cell>
          <cell r="AJ76">
            <v>1148.8500000000001</v>
          </cell>
          <cell r="AK76">
            <v>1148.4000000000001</v>
          </cell>
          <cell r="AL76">
            <v>1257.8059316249999</v>
          </cell>
          <cell r="AM76">
            <v>1093.7024999999999</v>
          </cell>
          <cell r="AN76">
            <v>4014</v>
          </cell>
          <cell r="AO76">
            <v>4183</v>
          </cell>
          <cell r="AP76">
            <v>3962</v>
          </cell>
          <cell r="AQ76">
            <v>3515</v>
          </cell>
          <cell r="AR76">
            <v>3931</v>
          </cell>
          <cell r="AS76">
            <v>3896</v>
          </cell>
          <cell r="AT76">
            <v>4195</v>
          </cell>
          <cell r="AU76">
            <v>4234</v>
          </cell>
          <cell r="AV76">
            <v>3996</v>
          </cell>
          <cell r="AW76">
            <v>3715</v>
          </cell>
          <cell r="AX76">
            <v>3150</v>
          </cell>
          <cell r="AY76">
            <v>3465</v>
          </cell>
          <cell r="AZ76">
            <v>3122</v>
          </cell>
          <cell r="BA76">
            <v>2960</v>
          </cell>
          <cell r="BB76">
            <v>29</v>
          </cell>
        </row>
        <row r="77">
          <cell r="D77" t="str">
            <v>stadsgas</v>
          </cell>
          <cell r="Y77">
            <v>25.558087999999998</v>
          </cell>
          <cell r="Z77">
            <v>111.41540000000001</v>
          </cell>
          <cell r="AA77">
            <v>114.713668</v>
          </cell>
          <cell r="AB77">
            <v>99.124815999999996</v>
          </cell>
          <cell r="AC77">
            <v>79.60706435767213</v>
          </cell>
          <cell r="AD77">
            <v>23.692636</v>
          </cell>
          <cell r="AE77">
            <v>16.11918</v>
          </cell>
          <cell r="AF77">
            <v>9.5705804829500689</v>
          </cell>
          <cell r="AG77">
            <v>3.3526964000000001</v>
          </cell>
          <cell r="AH77">
            <v>6.0569040000000003</v>
          </cell>
          <cell r="AI77">
            <v>8.3735999999999997</v>
          </cell>
          <cell r="AJ77">
            <v>0</v>
          </cell>
          <cell r="AK77">
            <v>9.3040000000000003</v>
          </cell>
          <cell r="AL77">
            <v>17.35465816</v>
          </cell>
          <cell r="AM77">
            <v>13.956</v>
          </cell>
          <cell r="AN77">
            <v>40</v>
          </cell>
          <cell r="AO77">
            <v>71</v>
          </cell>
          <cell r="AP77">
            <v>68</v>
          </cell>
          <cell r="AQ77">
            <v>14</v>
          </cell>
          <cell r="AR77">
            <v>13</v>
          </cell>
          <cell r="AS77">
            <v>2</v>
          </cell>
          <cell r="AT77">
            <v>1</v>
          </cell>
          <cell r="AU77">
            <v>0</v>
          </cell>
          <cell r="AV77">
            <v>0</v>
          </cell>
          <cell r="AW77">
            <v>1</v>
          </cell>
          <cell r="AX77">
            <v>0</v>
          </cell>
          <cell r="AY77">
            <v>0</v>
          </cell>
          <cell r="AZ77">
            <v>8</v>
          </cell>
          <cell r="BA77">
            <v>0</v>
          </cell>
          <cell r="BB77">
            <v>30</v>
          </cell>
        </row>
        <row r="78">
          <cell r="D78" t="str">
            <v>masugnsgas m.m.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31</v>
          </cell>
        </row>
        <row r="79">
          <cell r="D79" t="str">
            <v>övriga bränslen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34.273610000000005</v>
          </cell>
          <cell r="AH79">
            <v>26.350090999999999</v>
          </cell>
          <cell r="AI79">
            <v>5.8150000000000004</v>
          </cell>
          <cell r="AJ79">
            <v>3.9530370000000001</v>
          </cell>
          <cell r="AK79">
            <v>0.43112410000000001</v>
          </cell>
          <cell r="AL79">
            <v>5.2981628000000009</v>
          </cell>
          <cell r="AM79">
            <v>4.4310300000000007</v>
          </cell>
          <cell r="AN79">
            <v>66</v>
          </cell>
          <cell r="AO79">
            <v>71</v>
          </cell>
          <cell r="AP79">
            <v>74</v>
          </cell>
          <cell r="AQ79">
            <v>1</v>
          </cell>
          <cell r="AR79">
            <v>0</v>
          </cell>
          <cell r="AS79">
            <v>35</v>
          </cell>
          <cell r="AT79">
            <v>1</v>
          </cell>
          <cell r="AU79">
            <v>6</v>
          </cell>
          <cell r="AV79">
            <v>1</v>
          </cell>
          <cell r="AW79">
            <v>0</v>
          </cell>
          <cell r="AX79">
            <v>0</v>
          </cell>
          <cell r="AY79">
            <v>1</v>
          </cell>
          <cell r="AZ79">
            <v>2</v>
          </cell>
          <cell r="BA79">
            <v>13</v>
          </cell>
          <cell r="BB79">
            <v>32</v>
          </cell>
        </row>
        <row r="80">
          <cell r="D80" t="str">
            <v>fjärrvärme</v>
          </cell>
          <cell r="Y80">
            <v>409.91199999999998</v>
          </cell>
          <cell r="Z80">
            <v>247.83</v>
          </cell>
          <cell r="AA80">
            <v>284.8</v>
          </cell>
          <cell r="AB80">
            <v>339.39103693375444</v>
          </cell>
          <cell r="AC80">
            <v>331.29568059192684</v>
          </cell>
          <cell r="AD80">
            <v>290.65730504468814</v>
          </cell>
          <cell r="AE80">
            <v>298.98386185626822</v>
          </cell>
          <cell r="AF80">
            <v>282.73636300926688</v>
          </cell>
          <cell r="AG80">
            <v>179.14620000000002</v>
          </cell>
          <cell r="AH80">
            <v>201.97816068376068</v>
          </cell>
          <cell r="AI80">
            <v>303.40702004741155</v>
          </cell>
          <cell r="AJ80">
            <v>311.32806923215799</v>
          </cell>
          <cell r="AK80">
            <v>316.68380232663435</v>
          </cell>
          <cell r="AL80">
            <v>147</v>
          </cell>
          <cell r="AM80">
            <v>150</v>
          </cell>
          <cell r="AN80">
            <v>1651</v>
          </cell>
          <cell r="AO80">
            <v>1474</v>
          </cell>
          <cell r="AP80">
            <v>1512</v>
          </cell>
          <cell r="AQ80">
            <v>995</v>
          </cell>
          <cell r="AR80">
            <v>1301</v>
          </cell>
          <cell r="AS80">
            <v>1100</v>
          </cell>
          <cell r="AT80">
            <v>1550</v>
          </cell>
          <cell r="AU80">
            <v>1479</v>
          </cell>
          <cell r="AV80">
            <v>1613</v>
          </cell>
          <cell r="AW80">
            <v>1697</v>
          </cell>
          <cell r="AX80">
            <v>1680</v>
          </cell>
          <cell r="AY80">
            <v>1625</v>
          </cell>
          <cell r="AZ80">
            <v>1303</v>
          </cell>
          <cell r="BA80">
            <v>1259</v>
          </cell>
          <cell r="BB80">
            <v>33</v>
          </cell>
        </row>
        <row r="81">
          <cell r="D81" t="str">
            <v>el</v>
          </cell>
          <cell r="Y81">
            <v>2599.5</v>
          </cell>
          <cell r="Z81">
            <v>2610.4</v>
          </cell>
          <cell r="AA81">
            <v>2464.5889999999999</v>
          </cell>
          <cell r="AB81">
            <v>2445.5949999999998</v>
          </cell>
          <cell r="AC81">
            <v>2475.2939999999999</v>
          </cell>
          <cell r="AD81">
            <v>2569.0059999999999</v>
          </cell>
          <cell r="AE81">
            <v>2582.9960000000001</v>
          </cell>
          <cell r="AF81">
            <v>2343.5186266077294</v>
          </cell>
          <cell r="AG81">
            <v>2275.4099281870563</v>
          </cell>
          <cell r="AH81">
            <v>2571.6972677753442</v>
          </cell>
          <cell r="AI81">
            <v>2989</v>
          </cell>
          <cell r="AJ81">
            <v>2908</v>
          </cell>
          <cell r="AK81">
            <v>2707</v>
          </cell>
          <cell r="AL81">
            <v>2470</v>
          </cell>
          <cell r="AM81">
            <v>2433</v>
          </cell>
          <cell r="AN81">
            <v>8773</v>
          </cell>
          <cell r="AO81">
            <v>8780</v>
          </cell>
          <cell r="AP81">
            <v>9312</v>
          </cell>
          <cell r="AQ81">
            <v>8998</v>
          </cell>
          <cell r="AR81">
            <v>8583</v>
          </cell>
          <cell r="AS81">
            <v>8840</v>
          </cell>
          <cell r="AT81">
            <v>8982</v>
          </cell>
          <cell r="AU81">
            <v>8857</v>
          </cell>
          <cell r="AV81">
            <v>8640</v>
          </cell>
          <cell r="AW81">
            <v>8900</v>
          </cell>
          <cell r="AX81">
            <v>8696</v>
          </cell>
          <cell r="AY81">
            <v>8671</v>
          </cell>
          <cell r="AZ81">
            <v>8630</v>
          </cell>
          <cell r="BA81">
            <v>8542</v>
          </cell>
          <cell r="BB81">
            <v>34</v>
          </cell>
        </row>
        <row r="82">
          <cell r="D82" t="str">
            <v>totalt</v>
          </cell>
          <cell r="Y82">
            <v>6813.8827657000002</v>
          </cell>
          <cell r="Z82">
            <v>6239.6436309999999</v>
          </cell>
          <cell r="AA82">
            <v>6100.3628461999997</v>
          </cell>
          <cell r="AB82">
            <v>6258.2121847164235</v>
          </cell>
          <cell r="AC82">
            <v>6226.1614240321605</v>
          </cell>
          <cell r="AD82">
            <v>6416.6419111293944</v>
          </cell>
          <cell r="AE82">
            <v>6730.9287696990732</v>
          </cell>
          <cell r="AF82">
            <v>6205.7265486386113</v>
          </cell>
          <cell r="AG82">
            <v>5833.8808215117087</v>
          </cell>
          <cell r="AH82">
            <v>6873.349270882678</v>
          </cell>
          <cell r="AI82">
            <v>6559.2704600474117</v>
          </cell>
          <cell r="AJ82">
            <v>6010.3647066121575</v>
          </cell>
          <cell r="AK82">
            <v>5895.837926426635</v>
          </cell>
          <cell r="AL82">
            <v>5804.2506858530005</v>
          </cell>
          <cell r="AM82">
            <v>5275.7371653999999</v>
          </cell>
          <cell r="AN82">
            <v>19331</v>
          </cell>
          <cell r="AO82">
            <v>19420</v>
          </cell>
          <cell r="AP82">
            <v>19555</v>
          </cell>
          <cell r="AQ82">
            <v>18734</v>
          </cell>
          <cell r="AR82">
            <v>18763</v>
          </cell>
          <cell r="AS82">
            <v>18834</v>
          </cell>
          <cell r="AT82">
            <v>19001</v>
          </cell>
          <cell r="AU82">
            <v>18741</v>
          </cell>
          <cell r="AV82">
            <v>18312</v>
          </cell>
          <cell r="AW82">
            <v>18687</v>
          </cell>
          <cell r="AX82">
            <v>17224</v>
          </cell>
          <cell r="AY82">
            <v>17662</v>
          </cell>
          <cell r="AZ82">
            <v>17354</v>
          </cell>
          <cell r="BA82">
            <v>16590</v>
          </cell>
          <cell r="BB82">
            <v>35</v>
          </cell>
        </row>
        <row r="84">
          <cell r="D84" t="str">
            <v>biobränsle</v>
          </cell>
          <cell r="Y84">
            <v>0</v>
          </cell>
          <cell r="Z84">
            <v>11.63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14.398330132834289</v>
          </cell>
          <cell r="AF84">
            <v>0</v>
          </cell>
          <cell r="AG84">
            <v>2.625</v>
          </cell>
          <cell r="AH84">
            <v>0.09</v>
          </cell>
          <cell r="AI84">
            <v>3.4890000000000003</v>
          </cell>
          <cell r="AJ84">
            <v>1.8428898</v>
          </cell>
          <cell r="AK84">
            <v>11.63</v>
          </cell>
          <cell r="AL84">
            <v>0.2262035</v>
          </cell>
          <cell r="AM84">
            <v>9.3040000000000012E-2</v>
          </cell>
          <cell r="AN84">
            <v>2</v>
          </cell>
          <cell r="AO84">
            <v>1</v>
          </cell>
          <cell r="AP84">
            <v>0</v>
          </cell>
          <cell r="AQ84">
            <v>2</v>
          </cell>
          <cell r="AR84">
            <v>1</v>
          </cell>
          <cell r="AS84">
            <v>1</v>
          </cell>
          <cell r="AT84">
            <v>1</v>
          </cell>
          <cell r="AU84">
            <v>1</v>
          </cell>
          <cell r="AV84">
            <v>21</v>
          </cell>
          <cell r="AW84">
            <v>41</v>
          </cell>
          <cell r="AX84">
            <v>84</v>
          </cell>
          <cell r="AY84">
            <v>57</v>
          </cell>
          <cell r="AZ84">
            <v>85</v>
          </cell>
          <cell r="BA84">
            <v>28</v>
          </cell>
          <cell r="BB84">
            <v>37</v>
          </cell>
        </row>
        <row r="85">
          <cell r="D85" t="str">
            <v>kol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38</v>
          </cell>
        </row>
        <row r="86">
          <cell r="D86" t="str">
            <v>koks</v>
          </cell>
          <cell r="Y86">
            <v>0</v>
          </cell>
          <cell r="Z86">
            <v>3.8960500000000002E-2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39</v>
          </cell>
        </row>
        <row r="87">
          <cell r="D87" t="str">
            <v>gasol</v>
          </cell>
          <cell r="Y87">
            <v>233.15424750000003</v>
          </cell>
          <cell r="Z87">
            <v>194.60711599999999</v>
          </cell>
          <cell r="AA87">
            <v>128.37775500000001</v>
          </cell>
          <cell r="AB87">
            <v>182.543317</v>
          </cell>
          <cell r="AC87">
            <v>104.787463</v>
          </cell>
          <cell r="AD87">
            <v>78.961995636236679</v>
          </cell>
          <cell r="AE87">
            <v>132.97044199999999</v>
          </cell>
          <cell r="AF87">
            <v>131.95339849999999</v>
          </cell>
          <cell r="AG87">
            <v>112.3046298</v>
          </cell>
          <cell r="AH87">
            <v>125.86466152857142</v>
          </cell>
          <cell r="AI87">
            <v>139.44370000000001</v>
          </cell>
          <cell r="AJ87">
            <v>140.72299999999998</v>
          </cell>
          <cell r="AK87">
            <v>127.93100000000001</v>
          </cell>
          <cell r="AL87">
            <v>107.937559527</v>
          </cell>
          <cell r="AM87">
            <v>64.784258399999999</v>
          </cell>
          <cell r="AN87">
            <v>215</v>
          </cell>
          <cell r="AO87">
            <v>141</v>
          </cell>
          <cell r="AP87">
            <v>130</v>
          </cell>
          <cell r="AQ87">
            <v>96</v>
          </cell>
          <cell r="AR87">
            <v>86</v>
          </cell>
          <cell r="AS87">
            <v>86</v>
          </cell>
          <cell r="AT87">
            <v>87</v>
          </cell>
          <cell r="AU87">
            <v>95</v>
          </cell>
          <cell r="AV87">
            <v>92</v>
          </cell>
          <cell r="AW87">
            <v>106</v>
          </cell>
          <cell r="AX87">
            <v>97</v>
          </cell>
          <cell r="AY87">
            <v>79</v>
          </cell>
          <cell r="AZ87">
            <v>83</v>
          </cell>
          <cell r="BA87">
            <v>76</v>
          </cell>
          <cell r="BB87">
            <v>40</v>
          </cell>
        </row>
        <row r="88">
          <cell r="D88" t="str">
            <v>bensin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1</v>
          </cell>
          <cell r="AQ88">
            <v>1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41</v>
          </cell>
        </row>
        <row r="89">
          <cell r="D89" t="str">
            <v>lättoljor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42</v>
          </cell>
        </row>
        <row r="90">
          <cell r="D90" t="str">
            <v>diesel</v>
          </cell>
          <cell r="Y90">
            <v>1.7003059999999999</v>
          </cell>
          <cell r="Z90">
            <v>1.2159165000000001</v>
          </cell>
          <cell r="AA90">
            <v>9.8855000000000002E-3</v>
          </cell>
          <cell r="AB90">
            <v>2.9656500000000002E-2</v>
          </cell>
          <cell r="AC90">
            <v>0</v>
          </cell>
          <cell r="AD90">
            <v>0</v>
          </cell>
          <cell r="AE90">
            <v>0</v>
          </cell>
          <cell r="AF90">
            <v>0.44377183565921741</v>
          </cell>
          <cell r="AG90">
            <v>0.23016679083831107</v>
          </cell>
          <cell r="AH90">
            <v>0.66962084543404987</v>
          </cell>
          <cell r="AI90">
            <v>0.98855000000000004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1</v>
          </cell>
          <cell r="AQ90">
            <v>4</v>
          </cell>
          <cell r="AR90">
            <v>1</v>
          </cell>
          <cell r="AS90">
            <v>1</v>
          </cell>
          <cell r="AT90">
            <v>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6</v>
          </cell>
          <cell r="AZ90">
            <v>9</v>
          </cell>
          <cell r="BA90">
            <v>6</v>
          </cell>
          <cell r="BB90">
            <v>43</v>
          </cell>
        </row>
        <row r="91">
          <cell r="D91" t="str">
            <v>eo1</v>
          </cell>
          <cell r="Y91">
            <v>83.562131499999992</v>
          </cell>
          <cell r="Z91">
            <v>61.013306</v>
          </cell>
          <cell r="AA91">
            <v>52.333836999999995</v>
          </cell>
          <cell r="AB91">
            <v>82.316558499999999</v>
          </cell>
          <cell r="AC91">
            <v>160.16487100000003</v>
          </cell>
          <cell r="AD91">
            <v>67.251056500000004</v>
          </cell>
          <cell r="AE91">
            <v>98.074045499999997</v>
          </cell>
          <cell r="AF91">
            <v>83.631330000000005</v>
          </cell>
          <cell r="AG91">
            <v>43.084963199999997</v>
          </cell>
          <cell r="AH91">
            <v>58.704928344913419</v>
          </cell>
          <cell r="AI91">
            <v>52.393149999999999</v>
          </cell>
          <cell r="AJ91">
            <v>59.779800000000002</v>
          </cell>
          <cell r="AK91">
            <v>39.853200000000001</v>
          </cell>
          <cell r="AL91">
            <v>54.678889299000005</v>
          </cell>
          <cell r="AM91">
            <v>39.853200000000001</v>
          </cell>
          <cell r="AN91">
            <v>84</v>
          </cell>
          <cell r="AO91">
            <v>76</v>
          </cell>
          <cell r="AP91">
            <v>60</v>
          </cell>
          <cell r="AQ91">
            <v>73</v>
          </cell>
          <cell r="AR91">
            <v>66</v>
          </cell>
          <cell r="AS91">
            <v>96</v>
          </cell>
          <cell r="AT91">
            <v>76</v>
          </cell>
          <cell r="AU91">
            <v>76</v>
          </cell>
          <cell r="AV91">
            <v>95</v>
          </cell>
          <cell r="AW91">
            <v>74</v>
          </cell>
          <cell r="AX91">
            <v>58</v>
          </cell>
          <cell r="AY91">
            <v>66</v>
          </cell>
          <cell r="AZ91">
            <v>40</v>
          </cell>
          <cell r="BA91">
            <v>27</v>
          </cell>
          <cell r="BB91">
            <v>44</v>
          </cell>
        </row>
        <row r="92">
          <cell r="D92" t="str">
            <v>eo2-6</v>
          </cell>
          <cell r="Y92">
            <v>262.99942439999995</v>
          </cell>
          <cell r="Z92">
            <v>176.61283109999999</v>
          </cell>
          <cell r="AA92">
            <v>150.35182589999999</v>
          </cell>
          <cell r="AB92">
            <v>102.0751799316939</v>
          </cell>
          <cell r="AC92">
            <v>111.59845619999999</v>
          </cell>
          <cell r="AD92">
            <v>196.13553059999998</v>
          </cell>
          <cell r="AE92">
            <v>175.50960929999999</v>
          </cell>
          <cell r="AF92">
            <v>155.14326959999997</v>
          </cell>
          <cell r="AG92">
            <v>191.01744671999998</v>
          </cell>
          <cell r="AH92">
            <v>155.89310644909091</v>
          </cell>
          <cell r="AI92">
            <v>150.34100999999998</v>
          </cell>
          <cell r="AJ92">
            <v>127.0968</v>
          </cell>
          <cell r="AK92">
            <v>127.0968</v>
          </cell>
          <cell r="AL92">
            <v>145.61393108999999</v>
          </cell>
          <cell r="AM92">
            <v>137.57900000000001</v>
          </cell>
          <cell r="AN92">
            <v>278</v>
          </cell>
          <cell r="AO92">
            <v>244</v>
          </cell>
          <cell r="AP92">
            <v>227</v>
          </cell>
          <cell r="AQ92">
            <v>168</v>
          </cell>
          <cell r="AR92">
            <v>139</v>
          </cell>
          <cell r="AS92">
            <v>121</v>
          </cell>
          <cell r="AT92">
            <v>104</v>
          </cell>
          <cell r="AU92">
            <v>109</v>
          </cell>
          <cell r="AV92">
            <v>73</v>
          </cell>
          <cell r="AW92">
            <v>35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45</v>
          </cell>
        </row>
        <row r="93">
          <cell r="D93" t="str">
            <v>övriga petroleumprodukter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46</v>
          </cell>
        </row>
        <row r="94">
          <cell r="D94" t="str">
            <v>naturgas</v>
          </cell>
          <cell r="Y94">
            <v>48.805200000000006</v>
          </cell>
          <cell r="Z94">
            <v>35.0244</v>
          </cell>
          <cell r="AA94">
            <v>40.186800000000005</v>
          </cell>
          <cell r="AB94">
            <v>38.442600000000006</v>
          </cell>
          <cell r="AC94">
            <v>31.035960000000003</v>
          </cell>
          <cell r="AD94">
            <v>18.759599999999999</v>
          </cell>
          <cell r="AE94">
            <v>21.79224</v>
          </cell>
          <cell r="AF94">
            <v>32.8536</v>
          </cell>
          <cell r="AG94">
            <v>20.813436000000003</v>
          </cell>
          <cell r="AH94">
            <v>38.784744000000003</v>
          </cell>
          <cell r="AI94">
            <v>30.132000000000001</v>
          </cell>
          <cell r="AJ94">
            <v>29.97</v>
          </cell>
          <cell r="AK94">
            <v>19.8</v>
          </cell>
          <cell r="AL94">
            <v>56.12461425</v>
          </cell>
          <cell r="AM94">
            <v>55.237499999999997</v>
          </cell>
          <cell r="AN94">
            <v>178</v>
          </cell>
          <cell r="AO94">
            <v>135</v>
          </cell>
          <cell r="AP94">
            <v>207</v>
          </cell>
          <cell r="AQ94">
            <v>211</v>
          </cell>
          <cell r="AR94">
            <v>196</v>
          </cell>
          <cell r="AS94">
            <v>201</v>
          </cell>
          <cell r="AT94">
            <v>170</v>
          </cell>
          <cell r="AU94">
            <v>118</v>
          </cell>
          <cell r="AV94">
            <v>108</v>
          </cell>
          <cell r="AW94">
            <v>107</v>
          </cell>
          <cell r="AX94">
            <v>103</v>
          </cell>
          <cell r="AY94">
            <v>94</v>
          </cell>
          <cell r="AZ94">
            <v>82</v>
          </cell>
          <cell r="BA94">
            <v>32</v>
          </cell>
          <cell r="BB94">
            <v>47</v>
          </cell>
        </row>
        <row r="95">
          <cell r="D95" t="str">
            <v>stadsgas</v>
          </cell>
          <cell r="Y95">
            <v>0</v>
          </cell>
          <cell r="Z95">
            <v>4.6520000000000001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1.6184895500497616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48</v>
          </cell>
        </row>
        <row r="96">
          <cell r="D96" t="str">
            <v>masugnsgas m.m.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49</v>
          </cell>
        </row>
        <row r="97">
          <cell r="D97" t="str">
            <v>övriga bränslen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1.8608000000000002</v>
          </cell>
          <cell r="AH97">
            <v>2.323674</v>
          </cell>
          <cell r="AI97">
            <v>0</v>
          </cell>
          <cell r="AJ97">
            <v>0.3428524</v>
          </cell>
          <cell r="AK97">
            <v>0</v>
          </cell>
          <cell r="AL97">
            <v>0</v>
          </cell>
          <cell r="AM97">
            <v>0.53498000000000001</v>
          </cell>
          <cell r="AN97">
            <v>0</v>
          </cell>
          <cell r="AO97">
            <v>0</v>
          </cell>
          <cell r="AP97">
            <v>0</v>
          </cell>
          <cell r="AQ97">
            <v>1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2</v>
          </cell>
          <cell r="BA97">
            <v>0</v>
          </cell>
          <cell r="BB97">
            <v>50</v>
          </cell>
        </row>
        <row r="98">
          <cell r="D98" t="str">
            <v>fjärrvärme</v>
          </cell>
          <cell r="Y98">
            <v>54.918999999999997</v>
          </cell>
          <cell r="Z98">
            <v>51.104999999999997</v>
          </cell>
          <cell r="AA98">
            <v>40.015000000000001</v>
          </cell>
          <cell r="AB98">
            <v>49.95070801632977</v>
          </cell>
          <cell r="AC98">
            <v>50.847111494640792</v>
          </cell>
          <cell r="AD98">
            <v>48.597279862728477</v>
          </cell>
          <cell r="AE98">
            <v>57.85031375482847</v>
          </cell>
          <cell r="AF98">
            <v>62.409890892353715</v>
          </cell>
          <cell r="AG98">
            <v>43.399300000000004</v>
          </cell>
          <cell r="AH98">
            <v>49.33267272727273</v>
          </cell>
          <cell r="AI98">
            <v>36.722985213395965</v>
          </cell>
          <cell r="AJ98">
            <v>43.356869650900592</v>
          </cell>
          <cell r="AK98">
            <v>44.102731796369618</v>
          </cell>
          <cell r="AL98">
            <v>40</v>
          </cell>
          <cell r="AM98">
            <v>38</v>
          </cell>
          <cell r="AN98">
            <v>135</v>
          </cell>
          <cell r="AO98">
            <v>160</v>
          </cell>
          <cell r="AP98">
            <v>147</v>
          </cell>
          <cell r="AQ98">
            <v>73</v>
          </cell>
          <cell r="AR98">
            <v>76</v>
          </cell>
          <cell r="AS98">
            <v>81</v>
          </cell>
          <cell r="AT98">
            <v>66</v>
          </cell>
          <cell r="AU98">
            <v>79</v>
          </cell>
          <cell r="AV98">
            <v>56</v>
          </cell>
          <cell r="AW98">
            <v>41</v>
          </cell>
          <cell r="AX98">
            <v>41</v>
          </cell>
          <cell r="AY98">
            <v>40</v>
          </cell>
          <cell r="AZ98">
            <v>43</v>
          </cell>
          <cell r="BA98">
            <v>49</v>
          </cell>
          <cell r="BB98">
            <v>51</v>
          </cell>
        </row>
        <row r="99">
          <cell r="D99" t="str">
            <v>el</v>
          </cell>
          <cell r="Y99">
            <v>485.04899999999998</v>
          </cell>
          <cell r="Z99">
            <v>470.19299999999998</v>
          </cell>
          <cell r="AA99">
            <v>371.25200000000001</v>
          </cell>
          <cell r="AB99">
            <v>371.25200000000001</v>
          </cell>
          <cell r="AC99">
            <v>289.35500000000002</v>
          </cell>
          <cell r="AD99">
            <v>291.48599999999999</v>
          </cell>
          <cell r="AE99">
            <v>300.84100000000001</v>
          </cell>
          <cell r="AF99">
            <v>387.13891028421136</v>
          </cell>
          <cell r="AG99">
            <v>340.65961997383118</v>
          </cell>
          <cell r="AH99">
            <v>370.70356147215404</v>
          </cell>
          <cell r="AI99">
            <v>382</v>
          </cell>
          <cell r="AJ99">
            <v>423</v>
          </cell>
          <cell r="AK99">
            <v>368</v>
          </cell>
          <cell r="AL99">
            <v>323</v>
          </cell>
          <cell r="AM99">
            <v>255</v>
          </cell>
          <cell r="AN99">
            <v>870</v>
          </cell>
          <cell r="AO99">
            <v>742</v>
          </cell>
          <cell r="AP99">
            <v>721</v>
          </cell>
          <cell r="AQ99">
            <v>715</v>
          </cell>
          <cell r="AR99">
            <v>618</v>
          </cell>
          <cell r="AS99">
            <v>591</v>
          </cell>
          <cell r="AT99">
            <v>558</v>
          </cell>
          <cell r="AU99">
            <v>523</v>
          </cell>
          <cell r="AV99">
            <v>505</v>
          </cell>
          <cell r="AW99">
            <v>684</v>
          </cell>
          <cell r="AX99">
            <v>711</v>
          </cell>
          <cell r="AY99">
            <v>735</v>
          </cell>
          <cell r="AZ99">
            <v>733</v>
          </cell>
          <cell r="BA99">
            <v>720</v>
          </cell>
          <cell r="BB99">
            <v>52</v>
          </cell>
        </row>
        <row r="100">
          <cell r="D100" t="str">
            <v>totalt</v>
          </cell>
          <cell r="Y100">
            <v>1170.1893094</v>
          </cell>
          <cell r="Z100">
            <v>1006.0925301</v>
          </cell>
          <cell r="AA100">
            <v>782.52710339999999</v>
          </cell>
          <cell r="AB100">
            <v>826.61001994802359</v>
          </cell>
          <cell r="AC100">
            <v>747.7888616946409</v>
          </cell>
          <cell r="AD100">
            <v>701.19146259896513</v>
          </cell>
          <cell r="AE100">
            <v>801.43598068766278</v>
          </cell>
          <cell r="AF100">
            <v>855.19266066227408</v>
          </cell>
          <cell r="AG100">
            <v>755.9953624846695</v>
          </cell>
          <cell r="AH100">
            <v>802.36696936743647</v>
          </cell>
          <cell r="AI100">
            <v>795.5103952133959</v>
          </cell>
          <cell r="AJ100">
            <v>826.11221185090062</v>
          </cell>
          <cell r="AK100">
            <v>738.41373179636958</v>
          </cell>
          <cell r="AL100">
            <v>727.58119766599998</v>
          </cell>
          <cell r="AM100">
            <v>591.08197840000003</v>
          </cell>
          <cell r="AN100">
            <v>1762</v>
          </cell>
          <cell r="AO100">
            <v>1499</v>
          </cell>
          <cell r="AP100">
            <v>1494</v>
          </cell>
          <cell r="AQ100">
            <v>1344</v>
          </cell>
          <cell r="AR100">
            <v>1183</v>
          </cell>
          <cell r="AS100">
            <v>1178</v>
          </cell>
          <cell r="AT100">
            <v>1063</v>
          </cell>
          <cell r="AU100">
            <v>1001</v>
          </cell>
          <cell r="AV100">
            <v>950</v>
          </cell>
          <cell r="AW100">
            <v>1088</v>
          </cell>
          <cell r="AX100">
            <v>1095</v>
          </cell>
          <cell r="AY100">
            <v>1077</v>
          </cell>
          <cell r="AZ100">
            <v>1077</v>
          </cell>
          <cell r="BA100">
            <v>938</v>
          </cell>
          <cell r="BB100">
            <v>53</v>
          </cell>
        </row>
        <row r="102">
          <cell r="D102" t="str">
            <v>biobränsle</v>
          </cell>
          <cell r="Y102">
            <v>6408.13</v>
          </cell>
          <cell r="Z102">
            <v>7012.89</v>
          </cell>
          <cell r="AA102">
            <v>7059.4100000000008</v>
          </cell>
          <cell r="AB102">
            <v>7152.4500000000007</v>
          </cell>
          <cell r="AC102">
            <v>8036.3300000000008</v>
          </cell>
          <cell r="AD102">
            <v>8408.49</v>
          </cell>
          <cell r="AE102">
            <v>7718.20298</v>
          </cell>
          <cell r="AF102">
            <v>7540.4412516571883</v>
          </cell>
          <cell r="AG102">
            <v>5719.3667000000005</v>
          </cell>
          <cell r="AH102">
            <v>5417.8467516168803</v>
          </cell>
          <cell r="AI102">
            <v>5405.6240000000007</v>
          </cell>
          <cell r="AJ102">
            <v>5263.0251973000004</v>
          </cell>
          <cell r="AK102">
            <v>5268.39</v>
          </cell>
          <cell r="AL102">
            <v>5311.3258666000002</v>
          </cell>
          <cell r="AM102">
            <v>4185.7765600000002</v>
          </cell>
          <cell r="AN102">
            <v>18828</v>
          </cell>
          <cell r="AO102">
            <v>18778</v>
          </cell>
          <cell r="AP102">
            <v>17299</v>
          </cell>
          <cell r="AQ102">
            <v>17696</v>
          </cell>
          <cell r="AR102">
            <v>16186</v>
          </cell>
          <cell r="AS102">
            <v>16904</v>
          </cell>
          <cell r="AT102">
            <v>15377</v>
          </cell>
          <cell r="AU102">
            <v>16534</v>
          </cell>
          <cell r="AV102">
            <v>15580</v>
          </cell>
          <cell r="AW102">
            <v>16415</v>
          </cell>
          <cell r="AX102">
            <v>16408</v>
          </cell>
          <cell r="AY102">
            <v>16126</v>
          </cell>
          <cell r="AZ102">
            <v>17476</v>
          </cell>
          <cell r="BA102">
            <v>15587</v>
          </cell>
          <cell r="BB102">
            <v>55</v>
          </cell>
        </row>
        <row r="103">
          <cell r="D103" t="str">
            <v>kol</v>
          </cell>
          <cell r="Y103">
            <v>1.7538040000000001</v>
          </cell>
          <cell r="Z103">
            <v>3.1523114999999997</v>
          </cell>
          <cell r="AA103">
            <v>9.37378</v>
          </cell>
          <cell r="AB103">
            <v>19.684937999999999</v>
          </cell>
          <cell r="AC103">
            <v>8.0055104999999998</v>
          </cell>
          <cell r="AD103">
            <v>2.2602905</v>
          </cell>
          <cell r="AE103">
            <v>0.79117830353574947</v>
          </cell>
          <cell r="AF103">
            <v>0</v>
          </cell>
          <cell r="AG103">
            <v>0</v>
          </cell>
          <cell r="AH103">
            <v>0</v>
          </cell>
          <cell r="AI103">
            <v>28.726099999999999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56</v>
          </cell>
        </row>
        <row r="104">
          <cell r="D104" t="str">
            <v>koks</v>
          </cell>
          <cell r="Y104">
            <v>0</v>
          </cell>
          <cell r="Z104">
            <v>0</v>
          </cell>
          <cell r="AA104">
            <v>0.15584200000000001</v>
          </cell>
          <cell r="AB104">
            <v>0.11688149999999999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57</v>
          </cell>
        </row>
        <row r="105">
          <cell r="D105" t="str">
            <v>gasol</v>
          </cell>
          <cell r="Y105">
            <v>3.5692749000000004</v>
          </cell>
          <cell r="Z105">
            <v>3.9018649999999995</v>
          </cell>
          <cell r="AA105">
            <v>4.8997190000000002</v>
          </cell>
          <cell r="AB105">
            <v>14.878259</v>
          </cell>
          <cell r="AC105">
            <v>33.837485000000001</v>
          </cell>
          <cell r="AD105">
            <v>37.772733723162858</v>
          </cell>
          <cell r="AE105">
            <v>60.792335999999992</v>
          </cell>
          <cell r="AF105">
            <v>54.377542838608839</v>
          </cell>
          <cell r="AG105">
            <v>17.8219283</v>
          </cell>
          <cell r="AH105">
            <v>10.374779063015646</v>
          </cell>
          <cell r="AI105">
            <v>6.3964999999999996</v>
          </cell>
          <cell r="AJ105">
            <v>12.792999999999999</v>
          </cell>
          <cell r="AK105">
            <v>0</v>
          </cell>
          <cell r="AL105">
            <v>1.31896861</v>
          </cell>
          <cell r="AM105">
            <v>3.6716196999999999</v>
          </cell>
          <cell r="AN105">
            <v>23</v>
          </cell>
          <cell r="AO105">
            <v>23</v>
          </cell>
          <cell r="AP105">
            <v>22</v>
          </cell>
          <cell r="AQ105">
            <v>14</v>
          </cell>
          <cell r="AR105">
            <v>5</v>
          </cell>
          <cell r="AS105">
            <v>5</v>
          </cell>
          <cell r="AT105">
            <v>4</v>
          </cell>
          <cell r="AU105">
            <v>4</v>
          </cell>
          <cell r="AV105">
            <v>4</v>
          </cell>
          <cell r="AW105">
            <v>4</v>
          </cell>
          <cell r="AX105">
            <v>6</v>
          </cell>
          <cell r="AY105">
            <v>7</v>
          </cell>
          <cell r="AZ105">
            <v>6</v>
          </cell>
          <cell r="BA105">
            <v>6</v>
          </cell>
          <cell r="BB105">
            <v>58</v>
          </cell>
        </row>
        <row r="106">
          <cell r="D106" t="str">
            <v>bensin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2</v>
          </cell>
          <cell r="AO106">
            <v>1</v>
          </cell>
          <cell r="AP106">
            <v>1</v>
          </cell>
          <cell r="AQ106">
            <v>5</v>
          </cell>
          <cell r="AR106">
            <v>1</v>
          </cell>
          <cell r="AS106">
            <v>0</v>
          </cell>
          <cell r="AT106">
            <v>0</v>
          </cell>
          <cell r="AU106">
            <v>0</v>
          </cell>
          <cell r="AV106">
            <v>1</v>
          </cell>
          <cell r="AW106">
            <v>0</v>
          </cell>
          <cell r="AX106">
            <v>0</v>
          </cell>
          <cell r="AY106">
            <v>1</v>
          </cell>
          <cell r="AZ106">
            <v>1</v>
          </cell>
          <cell r="BA106">
            <v>0</v>
          </cell>
          <cell r="BB106">
            <v>59</v>
          </cell>
        </row>
        <row r="107">
          <cell r="D107" t="str">
            <v>lättoljor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60</v>
          </cell>
        </row>
        <row r="108">
          <cell r="D108" t="str">
            <v>diesel</v>
          </cell>
          <cell r="Y108">
            <v>14.23512</v>
          </cell>
          <cell r="Z108">
            <v>4.7450400000000004</v>
          </cell>
          <cell r="AA108">
            <v>5.9214145</v>
          </cell>
          <cell r="AB108">
            <v>7.5722930000000002</v>
          </cell>
          <cell r="AC108">
            <v>10.913592000000001</v>
          </cell>
          <cell r="AD108">
            <v>8.1950795000000003</v>
          </cell>
          <cell r="AE108">
            <v>13.4541655</v>
          </cell>
          <cell r="AF108">
            <v>1.4856709280765101</v>
          </cell>
          <cell r="AG108">
            <v>26.879602396792823</v>
          </cell>
          <cell r="AH108">
            <v>29.076849551343326</v>
          </cell>
          <cell r="AI108">
            <v>42.507649999999998</v>
          </cell>
          <cell r="AJ108">
            <v>9.9633000000000003</v>
          </cell>
          <cell r="AK108">
            <v>9.9633000000000003</v>
          </cell>
          <cell r="AL108">
            <v>5.6820699900000005</v>
          </cell>
          <cell r="AM108">
            <v>21.560581200000001</v>
          </cell>
          <cell r="AN108">
            <v>30</v>
          </cell>
          <cell r="AO108">
            <v>62</v>
          </cell>
          <cell r="AP108">
            <v>40</v>
          </cell>
          <cell r="AQ108">
            <v>42</v>
          </cell>
          <cell r="AR108">
            <v>48</v>
          </cell>
          <cell r="AS108">
            <v>44</v>
          </cell>
          <cell r="AT108">
            <v>60</v>
          </cell>
          <cell r="AU108">
            <v>58</v>
          </cell>
          <cell r="AV108">
            <v>65</v>
          </cell>
          <cell r="AW108">
            <v>82</v>
          </cell>
          <cell r="AX108">
            <v>165</v>
          </cell>
          <cell r="AY108">
            <v>768</v>
          </cell>
          <cell r="AZ108">
            <v>810</v>
          </cell>
          <cell r="BA108">
            <v>778</v>
          </cell>
          <cell r="BB108">
            <v>61</v>
          </cell>
        </row>
        <row r="109">
          <cell r="D109" t="str">
            <v>eo1</v>
          </cell>
          <cell r="Y109">
            <v>97.797251500000016</v>
          </cell>
          <cell r="Z109">
            <v>89.483546000000004</v>
          </cell>
          <cell r="AA109">
            <v>83.641215500000001</v>
          </cell>
          <cell r="AB109">
            <v>92.231715000000008</v>
          </cell>
          <cell r="AC109">
            <v>108.03862950000001</v>
          </cell>
          <cell r="AD109">
            <v>99.556870500000002</v>
          </cell>
          <cell r="AE109">
            <v>98.835228999999998</v>
          </cell>
          <cell r="AF109">
            <v>121.95983626103975</v>
          </cell>
          <cell r="AG109">
            <v>73.489795549999997</v>
          </cell>
          <cell r="AH109">
            <v>142.2734636434827</v>
          </cell>
          <cell r="AI109">
            <v>161.13365000000002</v>
          </cell>
          <cell r="AJ109">
            <v>139.4862</v>
          </cell>
          <cell r="AK109">
            <v>129.52289999999999</v>
          </cell>
          <cell r="AL109">
            <v>144.40816983300002</v>
          </cell>
          <cell r="AM109">
            <v>119.5596</v>
          </cell>
          <cell r="AN109">
            <v>370</v>
          </cell>
          <cell r="AO109">
            <v>338</v>
          </cell>
          <cell r="AP109">
            <v>309</v>
          </cell>
          <cell r="AQ109">
            <v>282</v>
          </cell>
          <cell r="AR109">
            <v>256</v>
          </cell>
          <cell r="AS109">
            <v>292</v>
          </cell>
          <cell r="AT109">
            <v>359</v>
          </cell>
          <cell r="AU109">
            <v>266</v>
          </cell>
          <cell r="AV109">
            <v>291</v>
          </cell>
          <cell r="AW109">
            <v>164</v>
          </cell>
          <cell r="AX109">
            <v>144</v>
          </cell>
          <cell r="AY109">
            <v>119</v>
          </cell>
          <cell r="AZ109">
            <v>138</v>
          </cell>
          <cell r="BA109">
            <v>349</v>
          </cell>
          <cell r="BB109">
            <v>62</v>
          </cell>
        </row>
        <row r="110">
          <cell r="D110" t="str">
            <v>eo2-6</v>
          </cell>
          <cell r="Y110">
            <v>409.7387397</v>
          </cell>
          <cell r="Z110">
            <v>355.43210579999999</v>
          </cell>
          <cell r="AA110">
            <v>254.06549099999995</v>
          </cell>
          <cell r="AB110">
            <v>310.55011144940397</v>
          </cell>
          <cell r="AC110">
            <v>230.0325612</v>
          </cell>
          <cell r="AD110">
            <v>358.80666659999997</v>
          </cell>
          <cell r="AE110">
            <v>303.38599499999998</v>
          </cell>
          <cell r="AF110">
            <v>459.18903449999993</v>
          </cell>
          <cell r="AG110">
            <v>299.41223333999994</v>
          </cell>
          <cell r="AH110">
            <v>221.28221065040543</v>
          </cell>
          <cell r="AI110">
            <v>217.39958999999999</v>
          </cell>
          <cell r="AJ110">
            <v>137.68819999999999</v>
          </cell>
          <cell r="AK110">
            <v>127.0968</v>
          </cell>
          <cell r="AL110">
            <v>123.30613122000001</v>
          </cell>
          <cell r="AM110">
            <v>105.83</v>
          </cell>
          <cell r="AN110">
            <v>370</v>
          </cell>
          <cell r="AO110">
            <v>432</v>
          </cell>
          <cell r="AP110">
            <v>381</v>
          </cell>
          <cell r="AQ110">
            <v>360</v>
          </cell>
          <cell r="AR110">
            <v>361</v>
          </cell>
          <cell r="AS110">
            <v>413</v>
          </cell>
          <cell r="AT110">
            <v>337</v>
          </cell>
          <cell r="AU110">
            <v>281</v>
          </cell>
          <cell r="AV110">
            <v>80</v>
          </cell>
          <cell r="AW110">
            <v>62</v>
          </cell>
          <cell r="AX110">
            <v>41</v>
          </cell>
          <cell r="AY110">
            <v>53</v>
          </cell>
          <cell r="AZ110">
            <v>18</v>
          </cell>
          <cell r="BA110">
            <v>15</v>
          </cell>
          <cell r="BB110">
            <v>63</v>
          </cell>
        </row>
        <row r="111">
          <cell r="D111" t="str">
            <v>övriga petroleumprodukter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64</v>
          </cell>
        </row>
        <row r="112">
          <cell r="D112" t="str">
            <v>naturgas</v>
          </cell>
          <cell r="Y112">
            <v>0.33480000000000004</v>
          </cell>
          <cell r="Z112">
            <v>0.31320000000000003</v>
          </cell>
          <cell r="AA112">
            <v>2.1600000000000001E-2</v>
          </cell>
          <cell r="AB112">
            <v>1.9440000000000002E-2</v>
          </cell>
          <cell r="AC112">
            <v>0</v>
          </cell>
          <cell r="AD112">
            <v>0.6609600000000001</v>
          </cell>
          <cell r="AE112">
            <v>0.34992000000000001</v>
          </cell>
          <cell r="AF112">
            <v>0.34020000000000006</v>
          </cell>
          <cell r="AG112">
            <v>1.1673720000000001</v>
          </cell>
          <cell r="AH112">
            <v>2.9367535135135143</v>
          </cell>
          <cell r="AI112">
            <v>1.9440000000000002</v>
          </cell>
          <cell r="AJ112">
            <v>0</v>
          </cell>
          <cell r="AK112">
            <v>0</v>
          </cell>
          <cell r="AL112">
            <v>4.34940075</v>
          </cell>
          <cell r="AM112">
            <v>0</v>
          </cell>
          <cell r="AN112">
            <v>18</v>
          </cell>
          <cell r="AO112">
            <v>57</v>
          </cell>
          <cell r="AP112">
            <v>39</v>
          </cell>
          <cell r="AQ112">
            <v>31</v>
          </cell>
          <cell r="AR112">
            <v>34</v>
          </cell>
          <cell r="AS112">
            <v>30</v>
          </cell>
          <cell r="AT112">
            <v>25</v>
          </cell>
          <cell r="AU112">
            <v>22</v>
          </cell>
          <cell r="AV112">
            <v>22</v>
          </cell>
          <cell r="AW112">
            <v>3</v>
          </cell>
          <cell r="AX112">
            <v>4</v>
          </cell>
          <cell r="AY112">
            <v>4</v>
          </cell>
          <cell r="AZ112">
            <v>3</v>
          </cell>
          <cell r="BA112">
            <v>3</v>
          </cell>
          <cell r="BB112">
            <v>65</v>
          </cell>
        </row>
        <row r="113">
          <cell r="D113" t="str">
            <v>stadsgas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66</v>
          </cell>
        </row>
        <row r="114">
          <cell r="D114" t="str">
            <v>masugnsgas m.m.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67</v>
          </cell>
        </row>
        <row r="115">
          <cell r="D115" t="str">
            <v>övriga bränslen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3.7971950000000003</v>
          </cell>
          <cell r="AH115">
            <v>4.1104296666666666</v>
          </cell>
          <cell r="AI115">
            <v>0</v>
          </cell>
          <cell r="AJ115">
            <v>1.1539286000000002</v>
          </cell>
          <cell r="AK115">
            <v>0.32947790000000005</v>
          </cell>
          <cell r="AL115">
            <v>0.15874950000000002</v>
          </cell>
          <cell r="AM115">
            <v>0.26749000000000001</v>
          </cell>
          <cell r="AN115">
            <v>1</v>
          </cell>
          <cell r="AO115">
            <v>1</v>
          </cell>
          <cell r="AP115">
            <v>7</v>
          </cell>
          <cell r="AQ115">
            <v>22</v>
          </cell>
          <cell r="AR115">
            <v>16</v>
          </cell>
          <cell r="AS115">
            <v>1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68</v>
          </cell>
        </row>
        <row r="116">
          <cell r="D116" t="str">
            <v>fjärrvärme</v>
          </cell>
          <cell r="Y116">
            <v>309.57100000000003</v>
          </cell>
          <cell r="Z116">
            <v>231.322</v>
          </cell>
          <cell r="AA116">
            <v>212.6</v>
          </cell>
          <cell r="AB116">
            <v>249.91684215937471</v>
          </cell>
          <cell r="AC116">
            <v>264.20127048952719</v>
          </cell>
          <cell r="AD116">
            <v>337.90852746745776</v>
          </cell>
          <cell r="AE116">
            <v>512.88755210162299</v>
          </cell>
          <cell r="AF116">
            <v>487.37441869271231</v>
          </cell>
          <cell r="AG116">
            <v>198.35550000000001</v>
          </cell>
          <cell r="AH116">
            <v>260.35505139876716</v>
          </cell>
          <cell r="AI116">
            <v>574.95829356875186</v>
          </cell>
          <cell r="AJ116">
            <v>583.55999965094713</v>
          </cell>
          <cell r="AK116">
            <v>593.59890044923202</v>
          </cell>
          <cell r="AL116">
            <v>443</v>
          </cell>
          <cell r="AM116">
            <v>406</v>
          </cell>
          <cell r="AN116">
            <v>4591</v>
          </cell>
          <cell r="AO116">
            <v>4752</v>
          </cell>
          <cell r="AP116">
            <v>4802</v>
          </cell>
          <cell r="AQ116">
            <v>4828</v>
          </cell>
          <cell r="AR116">
            <v>5337</v>
          </cell>
          <cell r="AS116">
            <v>4189</v>
          </cell>
          <cell r="AT116">
            <v>4299</v>
          </cell>
          <cell r="AU116">
            <v>4119</v>
          </cell>
          <cell r="AV116">
            <v>4110</v>
          </cell>
          <cell r="AW116">
            <v>4375</v>
          </cell>
          <cell r="AX116">
            <v>4030</v>
          </cell>
          <cell r="AY116">
            <v>3480</v>
          </cell>
          <cell r="AZ116">
            <v>3168</v>
          </cell>
          <cell r="BA116">
            <v>2934</v>
          </cell>
          <cell r="BB116">
            <v>69</v>
          </cell>
        </row>
        <row r="117">
          <cell r="D117" t="str">
            <v>el</v>
          </cell>
          <cell r="Y117">
            <v>1949.701</v>
          </cell>
          <cell r="Z117">
            <v>1835.413</v>
          </cell>
          <cell r="AA117">
            <v>1857.0450000000001</v>
          </cell>
          <cell r="AB117">
            <v>1855.7739999999999</v>
          </cell>
          <cell r="AC117">
            <v>1902.9469999999999</v>
          </cell>
          <cell r="AD117">
            <v>2051.183</v>
          </cell>
          <cell r="AE117">
            <v>2163.0410000000002</v>
          </cell>
          <cell r="AF117">
            <v>2384.5292445460518</v>
          </cell>
          <cell r="AG117">
            <v>2050.2053127105069</v>
          </cell>
          <cell r="AH117">
            <v>1971.4993089048726</v>
          </cell>
          <cell r="AI117">
            <v>2328</v>
          </cell>
          <cell r="AJ117">
            <v>2230</v>
          </cell>
          <cell r="AK117">
            <v>2284</v>
          </cell>
          <cell r="AL117">
            <v>2244</v>
          </cell>
          <cell r="AM117">
            <v>2202</v>
          </cell>
          <cell r="AN117">
            <v>7797</v>
          </cell>
          <cell r="AO117">
            <v>7954</v>
          </cell>
          <cell r="AP117">
            <v>7804</v>
          </cell>
          <cell r="AQ117">
            <v>7951</v>
          </cell>
          <cell r="AR117">
            <v>7443</v>
          </cell>
          <cell r="AS117">
            <v>7573</v>
          </cell>
          <cell r="AT117">
            <v>7312</v>
          </cell>
          <cell r="AU117">
            <v>6937</v>
          </cell>
          <cell r="AV117">
            <v>6614</v>
          </cell>
          <cell r="AW117">
            <v>6757</v>
          </cell>
          <cell r="AX117">
            <v>6766</v>
          </cell>
          <cell r="AY117">
            <v>6737</v>
          </cell>
          <cell r="AZ117">
            <v>6662</v>
          </cell>
          <cell r="BA117">
            <v>6569</v>
          </cell>
          <cell r="BB117">
            <v>70</v>
          </cell>
        </row>
        <row r="118">
          <cell r="D118" t="str">
            <v>totalt</v>
          </cell>
          <cell r="Y118">
            <v>9194.8309900999993</v>
          </cell>
          <cell r="Z118">
            <v>9536.6530683000001</v>
          </cell>
          <cell r="AA118">
            <v>9487.134062000001</v>
          </cell>
          <cell r="AB118">
            <v>9703.1944801087793</v>
          </cell>
          <cell r="AC118">
            <v>10594.306048689528</v>
          </cell>
          <cell r="AD118">
            <v>11304.834128290619</v>
          </cell>
          <cell r="AE118">
            <v>10871.74035590516</v>
          </cell>
          <cell r="AF118">
            <v>11049.697199423677</v>
          </cell>
          <cell r="AG118">
            <v>8390.4956392972999</v>
          </cell>
          <cell r="AH118">
            <v>8059.7555980089473</v>
          </cell>
          <cell r="AI118">
            <v>8766.6897835687523</v>
          </cell>
          <cell r="AJ118">
            <v>8377.6698255509473</v>
          </cell>
          <cell r="AK118">
            <v>8412.9013783492337</v>
          </cell>
          <cell r="AL118">
            <v>8277.549356503001</v>
          </cell>
          <cell r="AM118">
            <v>7044.6658508999999</v>
          </cell>
          <cell r="AN118">
            <v>32030</v>
          </cell>
          <cell r="AO118">
            <v>32398</v>
          </cell>
          <cell r="AP118">
            <v>30704</v>
          </cell>
          <cell r="AQ118">
            <v>31231</v>
          </cell>
          <cell r="AR118">
            <v>29687</v>
          </cell>
          <cell r="AS118">
            <v>29451</v>
          </cell>
          <cell r="AT118">
            <v>27773</v>
          </cell>
          <cell r="AU118">
            <v>28221</v>
          </cell>
          <cell r="AV118">
            <v>26767</v>
          </cell>
          <cell r="AW118">
            <v>27862</v>
          </cell>
          <cell r="AX118">
            <v>27564</v>
          </cell>
          <cell r="AY118">
            <v>27295</v>
          </cell>
          <cell r="AZ118">
            <v>28282</v>
          </cell>
          <cell r="BA118">
            <v>26241</v>
          </cell>
          <cell r="BB118">
            <v>71</v>
          </cell>
        </row>
        <row r="120">
          <cell r="D120" t="str">
            <v>biobränsle</v>
          </cell>
          <cell r="H120">
            <v>111829</v>
          </cell>
          <cell r="I120">
            <v>116811</v>
          </cell>
          <cell r="J120">
            <v>119659</v>
          </cell>
          <cell r="K120">
            <v>109023</v>
          </cell>
          <cell r="L120">
            <v>99353</v>
          </cell>
          <cell r="M120">
            <v>108941</v>
          </cell>
          <cell r="N120">
            <v>111578</v>
          </cell>
          <cell r="O120">
            <v>107684</v>
          </cell>
          <cell r="P120">
            <v>108103</v>
          </cell>
          <cell r="Q120">
            <v>100106</v>
          </cell>
          <cell r="Y120">
            <v>35611.060000000005</v>
          </cell>
          <cell r="Z120">
            <v>36715.910000000003</v>
          </cell>
          <cell r="AA120">
            <v>36448.42</v>
          </cell>
          <cell r="AB120">
            <v>37820.76</v>
          </cell>
          <cell r="AC120">
            <v>37913.800000000003</v>
          </cell>
          <cell r="AD120">
            <v>39937.42</v>
          </cell>
          <cell r="AE120">
            <v>38792.783770000002</v>
          </cell>
          <cell r="AF120">
            <v>43257.72332525986</v>
          </cell>
          <cell r="AG120">
            <v>43817.081690000006</v>
          </cell>
          <cell r="AH120">
            <v>44237.886730000006</v>
          </cell>
          <cell r="AI120">
            <v>45377.934000000001</v>
          </cell>
          <cell r="AJ120">
            <v>44687.788144940001</v>
          </cell>
          <cell r="AK120">
            <v>48093.966983999999</v>
          </cell>
          <cell r="AL120">
            <v>49325.801813900005</v>
          </cell>
          <cell r="AM120">
            <v>50309.033065999996</v>
          </cell>
          <cell r="AN120">
            <v>169734</v>
          </cell>
          <cell r="AO120">
            <v>169906</v>
          </cell>
          <cell r="AP120">
            <v>177007</v>
          </cell>
          <cell r="AQ120">
            <v>172890</v>
          </cell>
          <cell r="AR120">
            <v>169234</v>
          </cell>
          <cell r="AS120">
            <v>174257</v>
          </cell>
          <cell r="AT120">
            <v>174341</v>
          </cell>
          <cell r="AU120">
            <v>177634</v>
          </cell>
          <cell r="AV120">
            <v>178621</v>
          </cell>
          <cell r="AW120">
            <v>181714</v>
          </cell>
          <cell r="AX120">
            <v>183408</v>
          </cell>
          <cell r="AY120">
            <v>181571</v>
          </cell>
          <cell r="AZ120">
            <v>179024</v>
          </cell>
          <cell r="BA120">
            <v>178242</v>
          </cell>
          <cell r="BB120">
            <v>73</v>
          </cell>
        </row>
        <row r="121">
          <cell r="D121" t="str">
            <v>kol</v>
          </cell>
          <cell r="H121">
            <v>109</v>
          </cell>
          <cell r="I121">
            <v>327</v>
          </cell>
          <cell r="J121">
            <v>136</v>
          </cell>
          <cell r="K121">
            <v>189</v>
          </cell>
          <cell r="L121">
            <v>82</v>
          </cell>
          <cell r="M121">
            <v>82</v>
          </cell>
          <cell r="N121">
            <v>163</v>
          </cell>
          <cell r="O121">
            <v>136</v>
          </cell>
          <cell r="P121">
            <v>571</v>
          </cell>
          <cell r="Q121">
            <v>1007</v>
          </cell>
          <cell r="Y121">
            <v>724.47224199999994</v>
          </cell>
          <cell r="Z121">
            <v>754.30958850000002</v>
          </cell>
          <cell r="AA121">
            <v>615.68347749999998</v>
          </cell>
          <cell r="AB121">
            <v>567.1968445</v>
          </cell>
          <cell r="AC121">
            <v>520.96294250000005</v>
          </cell>
          <cell r="AD121">
            <v>334.51543449999997</v>
          </cell>
          <cell r="AE121">
            <v>410.47845409718053</v>
          </cell>
          <cell r="AF121">
            <v>279.70150000000001</v>
          </cell>
          <cell r="AG121">
            <v>219.22550000000001</v>
          </cell>
          <cell r="AH121">
            <v>251.92033750000002</v>
          </cell>
          <cell r="AI121">
            <v>120.19605</v>
          </cell>
          <cell r="AJ121">
            <v>111.8806</v>
          </cell>
          <cell r="AK121">
            <v>143.63049999999998</v>
          </cell>
          <cell r="AL121">
            <v>122.76627999999998</v>
          </cell>
          <cell r="AM121">
            <v>172.9386815</v>
          </cell>
          <cell r="AN121">
            <v>972</v>
          </cell>
          <cell r="AO121">
            <v>916</v>
          </cell>
          <cell r="AP121">
            <v>878</v>
          </cell>
          <cell r="AQ121">
            <v>440</v>
          </cell>
          <cell r="AR121">
            <v>377</v>
          </cell>
          <cell r="AS121">
            <v>271</v>
          </cell>
          <cell r="AT121">
            <v>122</v>
          </cell>
          <cell r="AU121">
            <v>277</v>
          </cell>
          <cell r="AV121">
            <v>400</v>
          </cell>
          <cell r="AW121">
            <v>421</v>
          </cell>
          <cell r="AX121">
            <v>301</v>
          </cell>
          <cell r="AY121">
            <v>213</v>
          </cell>
          <cell r="AZ121">
            <v>131</v>
          </cell>
          <cell r="BA121">
            <v>302</v>
          </cell>
          <cell r="BB121">
            <v>74</v>
          </cell>
        </row>
        <row r="122">
          <cell r="D122" t="str">
            <v>koks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75</v>
          </cell>
        </row>
        <row r="123">
          <cell r="D123" t="str">
            <v>gasol</v>
          </cell>
          <cell r="H123">
            <v>404</v>
          </cell>
          <cell r="I123">
            <v>507</v>
          </cell>
          <cell r="J123">
            <v>461</v>
          </cell>
          <cell r="K123">
            <v>552</v>
          </cell>
          <cell r="L123">
            <v>599</v>
          </cell>
          <cell r="M123">
            <v>599</v>
          </cell>
          <cell r="N123">
            <v>691</v>
          </cell>
          <cell r="O123">
            <v>691</v>
          </cell>
          <cell r="P123">
            <v>691</v>
          </cell>
          <cell r="Q123">
            <v>737</v>
          </cell>
          <cell r="Y123">
            <v>272.07085770000003</v>
          </cell>
          <cell r="Z123">
            <v>262.28208599999999</v>
          </cell>
          <cell r="AA123">
            <v>246.54669599999997</v>
          </cell>
          <cell r="AB123">
            <v>235.27606299999997</v>
          </cell>
          <cell r="AC123">
            <v>259.71069299999999</v>
          </cell>
          <cell r="AD123">
            <v>178.08150759294816</v>
          </cell>
          <cell r="AE123">
            <v>290.46506499999998</v>
          </cell>
          <cell r="AF123">
            <v>559.95577390000005</v>
          </cell>
          <cell r="AG123">
            <v>413.2970545</v>
          </cell>
          <cell r="AH123">
            <v>415.64167972962957</v>
          </cell>
          <cell r="AI123">
            <v>519.39580000000001</v>
          </cell>
          <cell r="AJ123">
            <v>486.13399999999996</v>
          </cell>
          <cell r="AK123">
            <v>524.51710000000003</v>
          </cell>
          <cell r="AL123">
            <v>589.38336217099993</v>
          </cell>
          <cell r="AM123">
            <v>573.15646620000007</v>
          </cell>
          <cell r="AN123">
            <v>2313</v>
          </cell>
          <cell r="AO123">
            <v>2330</v>
          </cell>
          <cell r="AP123">
            <v>2462</v>
          </cell>
          <cell r="AQ123">
            <v>2489</v>
          </cell>
          <cell r="AR123">
            <v>2297</v>
          </cell>
          <cell r="AS123">
            <v>2441</v>
          </cell>
          <cell r="AT123">
            <v>2385</v>
          </cell>
          <cell r="AU123">
            <v>2329</v>
          </cell>
          <cell r="AV123">
            <v>2359</v>
          </cell>
          <cell r="AW123">
            <v>2322</v>
          </cell>
          <cell r="AX123">
            <v>2357</v>
          </cell>
          <cell r="AY123">
            <v>2023</v>
          </cell>
          <cell r="AZ123">
            <v>1971</v>
          </cell>
          <cell r="BA123">
            <v>2084</v>
          </cell>
          <cell r="BB123">
            <v>76</v>
          </cell>
        </row>
        <row r="124">
          <cell r="D124" t="str">
            <v>bensin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1</v>
          </cell>
          <cell r="AQ124">
            <v>0</v>
          </cell>
          <cell r="AR124">
            <v>1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77</v>
          </cell>
        </row>
        <row r="125">
          <cell r="D125" t="str">
            <v>lättoljor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78</v>
          </cell>
        </row>
        <row r="126">
          <cell r="D126" t="str">
            <v>diesel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Y126">
            <v>30.150774999999999</v>
          </cell>
          <cell r="Z126">
            <v>7.4536670000000003</v>
          </cell>
          <cell r="AA126">
            <v>7.4338960000000007</v>
          </cell>
          <cell r="AB126">
            <v>10.2512635</v>
          </cell>
          <cell r="AC126">
            <v>10.2512635</v>
          </cell>
          <cell r="AD126">
            <v>6.6727125000000003</v>
          </cell>
          <cell r="AE126">
            <v>6.2179795000000002</v>
          </cell>
          <cell r="AF126">
            <v>2.5806296964965361</v>
          </cell>
          <cell r="AG126">
            <v>12.467794436487914</v>
          </cell>
          <cell r="AH126">
            <v>8.2817569269393889</v>
          </cell>
          <cell r="AI126">
            <v>16.805350000000001</v>
          </cell>
          <cell r="AJ126">
            <v>9.9633000000000003</v>
          </cell>
          <cell r="AK126">
            <v>0</v>
          </cell>
          <cell r="AL126">
            <v>0.2391192</v>
          </cell>
          <cell r="AM126">
            <v>3.9853200000000005E-2</v>
          </cell>
          <cell r="AN126">
            <v>2</v>
          </cell>
          <cell r="AO126">
            <v>1</v>
          </cell>
          <cell r="AP126">
            <v>2</v>
          </cell>
          <cell r="AQ126">
            <v>5</v>
          </cell>
          <cell r="AR126">
            <v>31</v>
          </cell>
          <cell r="AS126">
            <v>13</v>
          </cell>
          <cell r="AT126">
            <v>6</v>
          </cell>
          <cell r="AU126">
            <v>14</v>
          </cell>
          <cell r="AV126">
            <v>23</v>
          </cell>
          <cell r="AW126">
            <v>23</v>
          </cell>
          <cell r="AX126">
            <v>30</v>
          </cell>
          <cell r="AY126">
            <v>111</v>
          </cell>
          <cell r="AZ126">
            <v>82</v>
          </cell>
          <cell r="BA126">
            <v>80</v>
          </cell>
          <cell r="BB126">
            <v>79</v>
          </cell>
        </row>
        <row r="127">
          <cell r="D127" t="str">
            <v>eo1</v>
          </cell>
          <cell r="H127">
            <v>1068</v>
          </cell>
          <cell r="I127">
            <v>1068</v>
          </cell>
          <cell r="J127">
            <v>1246</v>
          </cell>
          <cell r="K127">
            <v>1281</v>
          </cell>
          <cell r="L127">
            <v>1068</v>
          </cell>
          <cell r="M127">
            <v>1032</v>
          </cell>
          <cell r="N127">
            <v>1281</v>
          </cell>
          <cell r="O127">
            <v>1317</v>
          </cell>
          <cell r="P127">
            <v>1103</v>
          </cell>
          <cell r="Q127">
            <v>712</v>
          </cell>
          <cell r="Y127">
            <v>332.14291449999996</v>
          </cell>
          <cell r="Z127">
            <v>296.16958</v>
          </cell>
          <cell r="AA127">
            <v>299.63939049999999</v>
          </cell>
          <cell r="AB127">
            <v>367.50334800000002</v>
          </cell>
          <cell r="AC127">
            <v>385.37633200000005</v>
          </cell>
          <cell r="AD127">
            <v>431.36367800000005</v>
          </cell>
          <cell r="AE127">
            <v>467.59403550000002</v>
          </cell>
          <cell r="AF127">
            <v>711.46932050000009</v>
          </cell>
          <cell r="AG127">
            <v>157.7488548</v>
          </cell>
          <cell r="AH127">
            <v>124.04885859971509</v>
          </cell>
          <cell r="AI127">
            <v>107.75195000000001</v>
          </cell>
          <cell r="AJ127">
            <v>99.63300000000001</v>
          </cell>
          <cell r="AK127">
            <v>99.63300000000001</v>
          </cell>
          <cell r="AL127">
            <v>105.33619218600002</v>
          </cell>
          <cell r="AM127">
            <v>139.4862</v>
          </cell>
          <cell r="AN127">
            <v>430</v>
          </cell>
          <cell r="AO127">
            <v>495</v>
          </cell>
          <cell r="AP127">
            <v>346</v>
          </cell>
          <cell r="AQ127">
            <v>312</v>
          </cell>
          <cell r="AR127">
            <v>449</v>
          </cell>
          <cell r="AS127">
            <v>432</v>
          </cell>
          <cell r="AT127">
            <v>411</v>
          </cell>
          <cell r="AU127">
            <v>326</v>
          </cell>
          <cell r="AV127">
            <v>390</v>
          </cell>
          <cell r="AW127">
            <v>355</v>
          </cell>
          <cell r="AX127">
            <v>498</v>
          </cell>
          <cell r="AY127">
            <v>680</v>
          </cell>
          <cell r="AZ127">
            <v>636</v>
          </cell>
          <cell r="BA127">
            <v>734</v>
          </cell>
          <cell r="BB127">
            <v>80</v>
          </cell>
        </row>
        <row r="128">
          <cell r="D128" t="str">
            <v>eo2-6</v>
          </cell>
          <cell r="H128">
            <v>74409</v>
          </cell>
          <cell r="I128">
            <v>74681</v>
          </cell>
          <cell r="J128">
            <v>67166</v>
          </cell>
          <cell r="K128">
            <v>69775</v>
          </cell>
          <cell r="L128">
            <v>65804</v>
          </cell>
          <cell r="M128">
            <v>64052</v>
          </cell>
          <cell r="N128">
            <v>63429</v>
          </cell>
          <cell r="O128">
            <v>56887</v>
          </cell>
          <cell r="P128">
            <v>49489</v>
          </cell>
          <cell r="Q128">
            <v>37458</v>
          </cell>
          <cell r="Y128">
            <v>4177.0248686999994</v>
          </cell>
          <cell r="Z128">
            <v>3495.5799050999999</v>
          </cell>
          <cell r="AA128">
            <v>3513.00432</v>
          </cell>
          <cell r="AB128">
            <v>4812.2544734310941</v>
          </cell>
          <cell r="AC128">
            <v>6340.2373164000001</v>
          </cell>
          <cell r="AD128">
            <v>6527.0170934999996</v>
          </cell>
          <cell r="AE128">
            <v>7608.0446666999997</v>
          </cell>
          <cell r="AF128">
            <v>7632.8455254</v>
          </cell>
          <cell r="AG128">
            <v>7452.8300121599996</v>
          </cell>
          <cell r="AH128">
            <v>7152.4831648833333</v>
          </cell>
          <cell r="AI128">
            <v>5786.5064999999995</v>
          </cell>
          <cell r="AJ128">
            <v>5189.7860000000001</v>
          </cell>
          <cell r="AK128">
            <v>5285.1086000000005</v>
          </cell>
          <cell r="AL128">
            <v>6180.0592630000001</v>
          </cell>
          <cell r="AM128">
            <v>6000.5609999999997</v>
          </cell>
          <cell r="AN128">
            <v>17818</v>
          </cell>
          <cell r="AO128">
            <v>17319</v>
          </cell>
          <cell r="AP128">
            <v>14124</v>
          </cell>
          <cell r="AQ128">
            <v>14379</v>
          </cell>
          <cell r="AR128">
            <v>10982</v>
          </cell>
          <cell r="AS128">
            <v>11617</v>
          </cell>
          <cell r="AT128">
            <v>9623</v>
          </cell>
          <cell r="AU128">
            <v>8742</v>
          </cell>
          <cell r="AV128">
            <v>6357</v>
          </cell>
          <cell r="AW128">
            <v>3870</v>
          </cell>
          <cell r="AX128">
            <v>3445</v>
          </cell>
          <cell r="AY128">
            <v>3600</v>
          </cell>
          <cell r="AZ128">
            <v>4437</v>
          </cell>
          <cell r="BA128">
            <v>4470</v>
          </cell>
          <cell r="BB128">
            <v>81</v>
          </cell>
        </row>
        <row r="129">
          <cell r="D129" t="str">
            <v>övriga petroleumprodukter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40.584800000000001</v>
          </cell>
          <cell r="AC129">
            <v>40.255000000000003</v>
          </cell>
          <cell r="AD129">
            <v>26.129359764660663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82</v>
          </cell>
        </row>
        <row r="130">
          <cell r="D130" t="str">
            <v>naturgas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Y130">
            <v>304.18200000000002</v>
          </cell>
          <cell r="Z130">
            <v>272.3544</v>
          </cell>
          <cell r="AA130">
            <v>401.91120000000001</v>
          </cell>
          <cell r="AB130">
            <v>549.36468000000002</v>
          </cell>
          <cell r="AC130">
            <v>581.62536</v>
          </cell>
          <cell r="AD130">
            <v>543.7854000000001</v>
          </cell>
          <cell r="AE130">
            <v>543.92148000000009</v>
          </cell>
          <cell r="AF130">
            <v>530.65368000000001</v>
          </cell>
          <cell r="AG130">
            <v>599.00083200000006</v>
          </cell>
          <cell r="AH130">
            <v>393.09506861538466</v>
          </cell>
          <cell r="AI130">
            <v>314.928</v>
          </cell>
          <cell r="AJ130">
            <v>529.47</v>
          </cell>
          <cell r="AK130">
            <v>316.8</v>
          </cell>
          <cell r="AL130">
            <v>600.90224850000004</v>
          </cell>
          <cell r="AM130">
            <v>386.66249999999997</v>
          </cell>
          <cell r="AN130">
            <v>1159</v>
          </cell>
          <cell r="AO130">
            <v>1134</v>
          </cell>
          <cell r="AP130">
            <v>800</v>
          </cell>
          <cell r="AQ130">
            <v>772</v>
          </cell>
          <cell r="AR130">
            <v>579</v>
          </cell>
          <cell r="AS130">
            <v>394</v>
          </cell>
          <cell r="AT130">
            <v>487</v>
          </cell>
          <cell r="AU130">
            <v>526</v>
          </cell>
          <cell r="AV130">
            <v>504</v>
          </cell>
          <cell r="AW130">
            <v>535</v>
          </cell>
          <cell r="AX130">
            <v>689</v>
          </cell>
          <cell r="AY130">
            <v>1114</v>
          </cell>
          <cell r="AZ130">
            <v>1424</v>
          </cell>
          <cell r="BA130">
            <v>1558</v>
          </cell>
          <cell r="BB130">
            <v>83</v>
          </cell>
        </row>
        <row r="131">
          <cell r="D131" t="str">
            <v>stadsgas</v>
          </cell>
          <cell r="H131">
            <v>84</v>
          </cell>
          <cell r="I131">
            <v>84</v>
          </cell>
          <cell r="J131">
            <v>100</v>
          </cell>
          <cell r="K131">
            <v>83</v>
          </cell>
          <cell r="L131">
            <v>67</v>
          </cell>
          <cell r="M131">
            <v>50</v>
          </cell>
          <cell r="N131">
            <v>33</v>
          </cell>
          <cell r="O131">
            <v>33</v>
          </cell>
          <cell r="P131">
            <v>50</v>
          </cell>
          <cell r="Q131">
            <v>67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84</v>
          </cell>
        </row>
        <row r="132">
          <cell r="D132" t="str">
            <v>masugnsgas m.m.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85</v>
          </cell>
        </row>
        <row r="133">
          <cell r="D133" t="str">
            <v>övriga bränslen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Y133">
            <v>121.41720000000001</v>
          </cell>
          <cell r="Z133">
            <v>81.956609999999998</v>
          </cell>
          <cell r="AA133">
            <v>127.93</v>
          </cell>
          <cell r="AB133">
            <v>165.64609000000002</v>
          </cell>
          <cell r="AC133">
            <v>92.458500000000015</v>
          </cell>
          <cell r="AD133">
            <v>169.33280000000002</v>
          </cell>
          <cell r="AE133">
            <v>116.30000000000001</v>
          </cell>
          <cell r="AF133">
            <v>0</v>
          </cell>
          <cell r="AG133">
            <v>58.033700000000003</v>
          </cell>
          <cell r="AH133">
            <v>61.850924444444452</v>
          </cell>
          <cell r="AI133">
            <v>3.4890000000000003</v>
          </cell>
          <cell r="AJ133">
            <v>0</v>
          </cell>
          <cell r="AK133">
            <v>0.19968710000000003</v>
          </cell>
          <cell r="AL133">
            <v>0.92760880000000001</v>
          </cell>
          <cell r="AM133">
            <v>4.6520000000000006E-2</v>
          </cell>
          <cell r="AN133">
            <v>1061</v>
          </cell>
          <cell r="AO133">
            <v>0</v>
          </cell>
          <cell r="AP133">
            <v>235</v>
          </cell>
          <cell r="AQ133">
            <v>115</v>
          </cell>
          <cell r="AR133">
            <v>202</v>
          </cell>
          <cell r="AS133">
            <v>126</v>
          </cell>
          <cell r="AT133">
            <v>735</v>
          </cell>
          <cell r="AU133">
            <v>646</v>
          </cell>
          <cell r="AV133">
            <v>515</v>
          </cell>
          <cell r="AW133">
            <v>584</v>
          </cell>
          <cell r="AX133">
            <v>417</v>
          </cell>
          <cell r="AY133">
            <v>452</v>
          </cell>
          <cell r="AZ133">
            <v>399</v>
          </cell>
          <cell r="BA133">
            <v>277</v>
          </cell>
          <cell r="BB133">
            <v>86</v>
          </cell>
        </row>
        <row r="134">
          <cell r="D134" t="str">
            <v>fjärrvärme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Y134">
            <v>260.88499999999999</v>
          </cell>
          <cell r="Z134">
            <v>803.11469999999997</v>
          </cell>
          <cell r="AA134">
            <v>672.1</v>
          </cell>
          <cell r="AB134">
            <v>706.55548293898971</v>
          </cell>
          <cell r="AC134">
            <v>778.32108781927786</v>
          </cell>
          <cell r="AD134">
            <v>988.36442716859267</v>
          </cell>
          <cell r="AE134">
            <v>692.39604867398509</v>
          </cell>
          <cell r="AF134">
            <v>837.8768494974197</v>
          </cell>
          <cell r="AG134">
            <v>21.6752</v>
          </cell>
          <cell r="AH134">
            <v>22.829233333333335</v>
          </cell>
          <cell r="AI134">
            <v>686.72008284932008</v>
          </cell>
          <cell r="AJ134">
            <v>704.94673916743091</v>
          </cell>
          <cell r="AK134">
            <v>717.07383901459184</v>
          </cell>
          <cell r="AL134">
            <v>165</v>
          </cell>
          <cell r="AM134">
            <v>211</v>
          </cell>
          <cell r="AN134">
            <v>910</v>
          </cell>
          <cell r="AO134">
            <v>906</v>
          </cell>
          <cell r="AP134">
            <v>794</v>
          </cell>
          <cell r="AQ134">
            <v>818</v>
          </cell>
          <cell r="AR134">
            <v>827</v>
          </cell>
          <cell r="AS134">
            <v>548</v>
          </cell>
          <cell r="AT134">
            <v>554</v>
          </cell>
          <cell r="AU134">
            <v>542</v>
          </cell>
          <cell r="AV134">
            <v>509</v>
          </cell>
          <cell r="AW134">
            <v>468</v>
          </cell>
          <cell r="AX134">
            <v>461</v>
          </cell>
          <cell r="AY134">
            <v>463</v>
          </cell>
          <cell r="AZ134">
            <v>456</v>
          </cell>
          <cell r="BA134">
            <v>463</v>
          </cell>
          <cell r="BB134">
            <v>87</v>
          </cell>
        </row>
        <row r="135">
          <cell r="D135" t="str">
            <v>el</v>
          </cell>
          <cell r="H135">
            <v>47340</v>
          </cell>
          <cell r="I135">
            <v>48704</v>
          </cell>
          <cell r="J135">
            <v>44287</v>
          </cell>
          <cell r="K135">
            <v>47441</v>
          </cell>
          <cell r="L135">
            <v>47470</v>
          </cell>
          <cell r="M135">
            <v>50663</v>
          </cell>
          <cell r="N135">
            <v>54011</v>
          </cell>
          <cell r="O135">
            <v>52182</v>
          </cell>
          <cell r="P135">
            <v>52607</v>
          </cell>
          <cell r="Q135">
            <v>49799</v>
          </cell>
          <cell r="Y135">
            <v>19682.037</v>
          </cell>
          <cell r="Z135">
            <v>19117.403999999999</v>
          </cell>
          <cell r="AA135">
            <v>18840.429</v>
          </cell>
          <cell r="AB135">
            <v>18820.489000000001</v>
          </cell>
          <cell r="AC135">
            <v>19083.242999999999</v>
          </cell>
          <cell r="AD135">
            <v>19134.364000000001</v>
          </cell>
          <cell r="AE135">
            <v>19021.475999999999</v>
          </cell>
          <cell r="AF135">
            <v>19809.244525471262</v>
          </cell>
          <cell r="AG135">
            <v>20730.067142114895</v>
          </cell>
          <cell r="AH135">
            <v>21529.05017051888</v>
          </cell>
          <cell r="AI135">
            <v>23564</v>
          </cell>
          <cell r="AJ135">
            <v>22654</v>
          </cell>
          <cell r="AK135">
            <v>22730</v>
          </cell>
          <cell r="AL135">
            <v>22590</v>
          </cell>
          <cell r="AM135">
            <v>23104</v>
          </cell>
          <cell r="AN135">
            <v>85376</v>
          </cell>
          <cell r="AO135">
            <v>86607</v>
          </cell>
          <cell r="AP135">
            <v>86957</v>
          </cell>
          <cell r="AQ135">
            <v>85739</v>
          </cell>
          <cell r="AR135">
            <v>80298</v>
          </cell>
          <cell r="AS135">
            <v>81825</v>
          </cell>
          <cell r="AT135">
            <v>81235</v>
          </cell>
          <cell r="AU135">
            <v>81682</v>
          </cell>
          <cell r="AV135">
            <v>77119</v>
          </cell>
          <cell r="AW135">
            <v>73649</v>
          </cell>
          <cell r="AX135">
            <v>72967</v>
          </cell>
          <cell r="AY135">
            <v>71584</v>
          </cell>
          <cell r="AZ135">
            <v>72094</v>
          </cell>
          <cell r="BA135">
            <v>71283</v>
          </cell>
          <cell r="BB135">
            <v>88</v>
          </cell>
        </row>
        <row r="136">
          <cell r="D136" t="str">
            <v>totalt</v>
          </cell>
          <cell r="Y136">
            <v>61515.442857900009</v>
          </cell>
          <cell r="Z136">
            <v>61806.534536599996</v>
          </cell>
          <cell r="AA136">
            <v>61173.097980000006</v>
          </cell>
          <cell r="AB136">
            <v>64095.882045370076</v>
          </cell>
          <cell r="AC136">
            <v>66006.241495219278</v>
          </cell>
          <cell r="AD136">
            <v>68277.046413026212</v>
          </cell>
          <cell r="AE136">
            <v>67949.67749947116</v>
          </cell>
          <cell r="AF136">
            <v>73622.051129725034</v>
          </cell>
          <cell r="AG136">
            <v>73481.427780011378</v>
          </cell>
          <cell r="AH136">
            <v>74197.087924551655</v>
          </cell>
          <cell r="AI136">
            <v>76497.726732849333</v>
          </cell>
          <cell r="AJ136">
            <v>74473.601784107435</v>
          </cell>
          <cell r="AK136">
            <v>77910.929710114578</v>
          </cell>
          <cell r="AL136">
            <v>79680.415887757015</v>
          </cell>
          <cell r="AM136">
            <v>80896.924286900015</v>
          </cell>
          <cell r="AN136">
            <v>279775</v>
          </cell>
          <cell r="AO136">
            <v>279614</v>
          </cell>
          <cell r="AP136">
            <v>283606</v>
          </cell>
          <cell r="AQ136">
            <v>277959</v>
          </cell>
          <cell r="AR136">
            <v>265277</v>
          </cell>
          <cell r="AS136">
            <v>271924</v>
          </cell>
          <cell r="AT136">
            <v>269899</v>
          </cell>
          <cell r="AU136">
            <v>272718</v>
          </cell>
          <cell r="AV136">
            <v>266797</v>
          </cell>
          <cell r="AW136">
            <v>263941</v>
          </cell>
          <cell r="AX136">
            <v>264573</v>
          </cell>
          <cell r="AY136">
            <v>261811</v>
          </cell>
          <cell r="AZ136">
            <v>260654</v>
          </cell>
          <cell r="BA136">
            <v>259493</v>
          </cell>
          <cell r="BB136">
            <v>89</v>
          </cell>
        </row>
        <row r="138">
          <cell r="D138" t="str">
            <v>biobränsle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0.24128955437861566</v>
          </cell>
          <cell r="AF138">
            <v>0.10924042602694339</v>
          </cell>
          <cell r="AG138">
            <v>0</v>
          </cell>
          <cell r="AH138">
            <v>0</v>
          </cell>
          <cell r="AI138">
            <v>0</v>
          </cell>
          <cell r="AJ138">
            <v>3.0354300000000003</v>
          </cell>
          <cell r="AK138">
            <v>0</v>
          </cell>
          <cell r="AL138">
            <v>0</v>
          </cell>
          <cell r="AM138">
            <v>0.36053000000000002</v>
          </cell>
          <cell r="AN138">
            <v>23</v>
          </cell>
          <cell r="AO138">
            <v>1</v>
          </cell>
          <cell r="AP138">
            <v>2</v>
          </cell>
          <cell r="AQ138">
            <v>1</v>
          </cell>
          <cell r="AR138">
            <v>1</v>
          </cell>
          <cell r="AS138">
            <v>1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2</v>
          </cell>
          <cell r="AZ138">
            <v>3</v>
          </cell>
          <cell r="BA138">
            <v>3</v>
          </cell>
          <cell r="BB138">
            <v>91</v>
          </cell>
        </row>
        <row r="139">
          <cell r="D139" t="str">
            <v>kol</v>
          </cell>
          <cell r="Y139">
            <v>0.105833</v>
          </cell>
          <cell r="Z139">
            <v>0.80130699999999999</v>
          </cell>
          <cell r="AA139">
            <v>1.6857685</v>
          </cell>
          <cell r="AB139">
            <v>5.2916499999999998E-2</v>
          </cell>
          <cell r="AC139">
            <v>0</v>
          </cell>
          <cell r="AD139">
            <v>0</v>
          </cell>
          <cell r="AE139">
            <v>1.0100148555775523</v>
          </cell>
          <cell r="AF139">
            <v>0</v>
          </cell>
          <cell r="AG139">
            <v>0</v>
          </cell>
          <cell r="AH139">
            <v>0</v>
          </cell>
          <cell r="AI139">
            <v>3.7797499999999999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92</v>
          </cell>
        </row>
        <row r="140">
          <cell r="D140" t="str">
            <v>koks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22.597089999999998</v>
          </cell>
          <cell r="AJ140">
            <v>19.480249999999998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93</v>
          </cell>
        </row>
        <row r="141">
          <cell r="D141" t="str">
            <v>gasol</v>
          </cell>
          <cell r="Y141">
            <v>46.886711500000004</v>
          </cell>
          <cell r="Z141">
            <v>81.887992999999994</v>
          </cell>
          <cell r="AA141">
            <v>40.873634999999993</v>
          </cell>
          <cell r="AB141">
            <v>46.950309999999995</v>
          </cell>
          <cell r="AC141">
            <v>59.986376999999997</v>
          </cell>
          <cell r="AD141">
            <v>43.590880258334778</v>
          </cell>
          <cell r="AE141">
            <v>55.675136000000002</v>
          </cell>
          <cell r="AF141">
            <v>57.133538000000001</v>
          </cell>
          <cell r="AG141">
            <v>60.797453199999993</v>
          </cell>
          <cell r="AH141">
            <v>56.781532513095236</v>
          </cell>
          <cell r="AI141">
            <v>65.244299999999996</v>
          </cell>
          <cell r="AJ141">
            <v>51.171999999999997</v>
          </cell>
          <cell r="AK141">
            <v>51.172400000000003</v>
          </cell>
          <cell r="AL141">
            <v>58.506684229999998</v>
          </cell>
          <cell r="AM141">
            <v>64.106224100000006</v>
          </cell>
          <cell r="AN141">
            <v>86</v>
          </cell>
          <cell r="AO141">
            <v>131</v>
          </cell>
          <cell r="AP141">
            <v>123</v>
          </cell>
          <cell r="AQ141">
            <v>111</v>
          </cell>
          <cell r="AR141">
            <v>74</v>
          </cell>
          <cell r="AS141">
            <v>67</v>
          </cell>
          <cell r="AT141">
            <v>63</v>
          </cell>
          <cell r="AU141">
            <v>52</v>
          </cell>
          <cell r="AV141">
            <v>50</v>
          </cell>
          <cell r="AW141">
            <v>58</v>
          </cell>
          <cell r="AX141">
            <v>54</v>
          </cell>
          <cell r="AY141">
            <v>27</v>
          </cell>
          <cell r="AZ141">
            <v>23</v>
          </cell>
          <cell r="BA141">
            <v>26</v>
          </cell>
          <cell r="BB141">
            <v>94</v>
          </cell>
        </row>
        <row r="142">
          <cell r="D142" t="str">
            <v>bensin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4</v>
          </cell>
          <cell r="AO142">
            <v>1</v>
          </cell>
          <cell r="AP142">
            <v>1</v>
          </cell>
          <cell r="AQ142">
            <v>1</v>
          </cell>
          <cell r="AR142">
            <v>1</v>
          </cell>
          <cell r="AS142">
            <v>1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95</v>
          </cell>
        </row>
        <row r="143">
          <cell r="D143" t="str">
            <v>lättoljor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96</v>
          </cell>
        </row>
        <row r="144">
          <cell r="D144" t="str">
            <v>diesel</v>
          </cell>
          <cell r="Y144">
            <v>0.3855345</v>
          </cell>
          <cell r="Z144">
            <v>0</v>
          </cell>
          <cell r="AA144">
            <v>0.14828250000000001</v>
          </cell>
          <cell r="AB144">
            <v>9.8855000000000002E-3</v>
          </cell>
          <cell r="AC144">
            <v>0</v>
          </cell>
          <cell r="AD144">
            <v>0</v>
          </cell>
          <cell r="AE144">
            <v>9.8855000000000002E-3</v>
          </cell>
          <cell r="AF144">
            <v>0.51130233238996781</v>
          </cell>
          <cell r="AG144">
            <v>0.15761207533453206</v>
          </cell>
          <cell r="AH144">
            <v>0.34961139939807906</v>
          </cell>
          <cell r="AI144">
            <v>0.98855000000000004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1</v>
          </cell>
          <cell r="AQ144">
            <v>0</v>
          </cell>
          <cell r="AR144">
            <v>1</v>
          </cell>
          <cell r="AS144">
            <v>1</v>
          </cell>
          <cell r="AT144">
            <v>1</v>
          </cell>
          <cell r="AU144">
            <v>1</v>
          </cell>
          <cell r="AV144">
            <v>1</v>
          </cell>
          <cell r="AW144">
            <v>1</v>
          </cell>
          <cell r="AX144">
            <v>1</v>
          </cell>
          <cell r="AY144">
            <v>1</v>
          </cell>
          <cell r="AZ144">
            <v>2</v>
          </cell>
          <cell r="BA144">
            <v>3</v>
          </cell>
          <cell r="BB144">
            <v>97</v>
          </cell>
        </row>
        <row r="145">
          <cell r="D145" t="str">
            <v>eo1</v>
          </cell>
          <cell r="Y145">
            <v>65.451895500000006</v>
          </cell>
          <cell r="Z145">
            <v>63.296856499999997</v>
          </cell>
          <cell r="AA145">
            <v>41.271962500000001</v>
          </cell>
          <cell r="AB145">
            <v>37.960320000000003</v>
          </cell>
          <cell r="AC145">
            <v>33.8973795</v>
          </cell>
          <cell r="AD145">
            <v>34.796959999999999</v>
          </cell>
          <cell r="AE145">
            <v>35.993105499999999</v>
          </cell>
          <cell r="AF145">
            <v>32.730890500000001</v>
          </cell>
          <cell r="AG145">
            <v>20.879164549999999</v>
          </cell>
          <cell r="AH145">
            <v>17.98501966666667</v>
          </cell>
          <cell r="AI145">
            <v>17.793900000000001</v>
          </cell>
          <cell r="AJ145">
            <v>19.926600000000001</v>
          </cell>
          <cell r="AK145">
            <v>19.926600000000001</v>
          </cell>
          <cell r="AL145">
            <v>16.084552253999998</v>
          </cell>
          <cell r="AM145">
            <v>9.9633000000000003</v>
          </cell>
          <cell r="AN145">
            <v>41</v>
          </cell>
          <cell r="AO145">
            <v>36</v>
          </cell>
          <cell r="AP145">
            <v>31</v>
          </cell>
          <cell r="AQ145">
            <v>28</v>
          </cell>
          <cell r="AR145">
            <v>22</v>
          </cell>
          <cell r="AS145">
            <v>20</v>
          </cell>
          <cell r="AT145">
            <v>15</v>
          </cell>
          <cell r="AU145">
            <v>11</v>
          </cell>
          <cell r="AV145">
            <v>10</v>
          </cell>
          <cell r="AW145">
            <v>7</v>
          </cell>
          <cell r="AX145">
            <v>6</v>
          </cell>
          <cell r="AY145">
            <v>5</v>
          </cell>
          <cell r="AZ145">
            <v>2</v>
          </cell>
          <cell r="BA145">
            <v>3</v>
          </cell>
          <cell r="BB145">
            <v>98</v>
          </cell>
        </row>
        <row r="146">
          <cell r="D146" t="str">
            <v>eo2-6</v>
          </cell>
          <cell r="Y146">
            <v>45.470043599999997</v>
          </cell>
          <cell r="Z146">
            <v>42.279353099999994</v>
          </cell>
          <cell r="AA146">
            <v>25.201046999999999</v>
          </cell>
          <cell r="AB146">
            <v>18.586921605193432</v>
          </cell>
          <cell r="AC146">
            <v>32.7397293</v>
          </cell>
          <cell r="AD146">
            <v>28.153787699999999</v>
          </cell>
          <cell r="AE146">
            <v>63.521780700000001</v>
          </cell>
          <cell r="AF146">
            <v>9.7883894999999992</v>
          </cell>
          <cell r="AG146">
            <v>28.7270304</v>
          </cell>
          <cell r="AH146">
            <v>39.478678803571427</v>
          </cell>
          <cell r="AI146">
            <v>2.1631800000000001</v>
          </cell>
          <cell r="AJ146">
            <v>0</v>
          </cell>
          <cell r="AK146">
            <v>0</v>
          </cell>
          <cell r="AL146">
            <v>59.001283299999997</v>
          </cell>
          <cell r="AM146">
            <v>0</v>
          </cell>
          <cell r="AN146">
            <v>7</v>
          </cell>
          <cell r="AO146">
            <v>6</v>
          </cell>
          <cell r="AP146">
            <v>5</v>
          </cell>
          <cell r="AQ146">
            <v>5</v>
          </cell>
          <cell r="AR146">
            <v>4</v>
          </cell>
          <cell r="AS146">
            <v>6</v>
          </cell>
          <cell r="AT146">
            <v>4</v>
          </cell>
          <cell r="AU146">
            <v>3</v>
          </cell>
          <cell r="AV146">
            <v>0</v>
          </cell>
          <cell r="AW146">
            <v>0</v>
          </cell>
          <cell r="AX146">
            <v>0</v>
          </cell>
          <cell r="AY146">
            <v>4</v>
          </cell>
          <cell r="AZ146">
            <v>0</v>
          </cell>
          <cell r="BA146">
            <v>6</v>
          </cell>
          <cell r="BB146">
            <v>99</v>
          </cell>
        </row>
        <row r="147">
          <cell r="D147" t="str">
            <v>övriga petroleumprodukter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100</v>
          </cell>
        </row>
        <row r="148">
          <cell r="D148" t="str">
            <v>naturgas</v>
          </cell>
          <cell r="Y148">
            <v>7.3980000000000015</v>
          </cell>
          <cell r="Z148">
            <v>6.2531999999999996</v>
          </cell>
          <cell r="AA148">
            <v>5.6808000000000005</v>
          </cell>
          <cell r="AB148">
            <v>6.2888400000000004</v>
          </cell>
          <cell r="AC148">
            <v>6.9595200000000004</v>
          </cell>
          <cell r="AD148">
            <v>18.33192</v>
          </cell>
          <cell r="AE148">
            <v>26.98272</v>
          </cell>
          <cell r="AF148">
            <v>53.518320000000003</v>
          </cell>
          <cell r="AG148">
            <v>26.157492000000001</v>
          </cell>
          <cell r="AH148">
            <v>29.4592545</v>
          </cell>
          <cell r="AI148">
            <v>19.440000000000001</v>
          </cell>
          <cell r="AJ148">
            <v>19.98</v>
          </cell>
          <cell r="AK148">
            <v>19.8</v>
          </cell>
          <cell r="AL148">
            <v>15.747879825</v>
          </cell>
          <cell r="AM148">
            <v>11.047499999999999</v>
          </cell>
          <cell r="AN148">
            <v>52</v>
          </cell>
          <cell r="AO148">
            <v>49</v>
          </cell>
          <cell r="AP148">
            <v>24</v>
          </cell>
          <cell r="AQ148">
            <v>36</v>
          </cell>
          <cell r="AR148">
            <v>35</v>
          </cell>
          <cell r="AS148">
            <v>24</v>
          </cell>
          <cell r="AT148">
            <v>36</v>
          </cell>
          <cell r="AU148">
            <v>68</v>
          </cell>
          <cell r="AV148">
            <v>22</v>
          </cell>
          <cell r="AW148">
            <v>12</v>
          </cell>
          <cell r="AX148">
            <v>9</v>
          </cell>
          <cell r="AY148">
            <v>2</v>
          </cell>
          <cell r="AZ148">
            <v>8</v>
          </cell>
          <cell r="BA148">
            <v>12</v>
          </cell>
          <cell r="BB148">
            <v>101</v>
          </cell>
        </row>
        <row r="149">
          <cell r="D149" t="str">
            <v>stadsgas</v>
          </cell>
          <cell r="Y149">
            <v>16.505296000000001</v>
          </cell>
          <cell r="Z149">
            <v>1.9073199999999999</v>
          </cell>
          <cell r="AA149">
            <v>1.6886760000000001</v>
          </cell>
          <cell r="AB149">
            <v>0.92760880000000001</v>
          </cell>
          <cell r="AC149">
            <v>0.89062309549579555</v>
          </cell>
          <cell r="AD149">
            <v>1.521204</v>
          </cell>
          <cell r="AE149">
            <v>2.4283440000000001</v>
          </cell>
          <cell r="AF149">
            <v>1.6886679587240059</v>
          </cell>
          <cell r="AG149">
            <v>0</v>
          </cell>
          <cell r="AH149">
            <v>4.1867999999999995E-2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102</v>
          </cell>
        </row>
        <row r="150">
          <cell r="D150" t="str">
            <v>masugnsgas m.m.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103</v>
          </cell>
        </row>
        <row r="151">
          <cell r="D151" t="str">
            <v>övriga bränslen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1.2095199999999999</v>
          </cell>
          <cell r="AH151">
            <v>0.62802000000000002</v>
          </cell>
          <cell r="AI151">
            <v>0</v>
          </cell>
          <cell r="AJ151">
            <v>0.54754040000000004</v>
          </cell>
          <cell r="AK151">
            <v>0</v>
          </cell>
          <cell r="AL151">
            <v>0</v>
          </cell>
          <cell r="AM151">
            <v>8.30382</v>
          </cell>
          <cell r="AN151">
            <v>12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10</v>
          </cell>
          <cell r="BA151">
            <v>0</v>
          </cell>
          <cell r="BB151">
            <v>104</v>
          </cell>
        </row>
        <row r="152">
          <cell r="D152" t="str">
            <v>fjärrvärme</v>
          </cell>
          <cell r="Y152">
            <v>153.78100000000001</v>
          </cell>
          <cell r="Z152">
            <v>131.39930000000001</v>
          </cell>
          <cell r="AA152">
            <v>72.98</v>
          </cell>
          <cell r="AB152">
            <v>98.27058722959876</v>
          </cell>
          <cell r="AC152">
            <v>96.255382919733606</v>
          </cell>
          <cell r="AD152">
            <v>106.15940463736563</v>
          </cell>
          <cell r="AE152">
            <v>123.15858741621753</v>
          </cell>
          <cell r="AF152">
            <v>121.77507064963542</v>
          </cell>
          <cell r="AG152">
            <v>110.0801</v>
          </cell>
          <cell r="AH152">
            <v>107.62557827380951</v>
          </cell>
          <cell r="AI152">
            <v>96.25463306769386</v>
          </cell>
          <cell r="AJ152">
            <v>82.204028320282063</v>
          </cell>
          <cell r="AK152">
            <v>83.618172685934823</v>
          </cell>
          <cell r="AL152">
            <v>114</v>
          </cell>
          <cell r="AM152">
            <v>86.593385507178269</v>
          </cell>
          <cell r="AN152">
            <v>368</v>
          </cell>
          <cell r="AO152">
            <v>343</v>
          </cell>
          <cell r="AP152">
            <v>332</v>
          </cell>
          <cell r="AQ152">
            <v>218</v>
          </cell>
          <cell r="AR152">
            <v>206</v>
          </cell>
          <cell r="AS152">
            <v>220</v>
          </cell>
          <cell r="AT152">
            <v>212</v>
          </cell>
          <cell r="AU152">
            <v>225</v>
          </cell>
          <cell r="AV152">
            <v>184</v>
          </cell>
          <cell r="AW152">
            <v>159</v>
          </cell>
          <cell r="AX152">
            <v>145</v>
          </cell>
          <cell r="AY152">
            <v>128</v>
          </cell>
          <cell r="AZ152">
            <v>130</v>
          </cell>
          <cell r="BA152">
            <v>119</v>
          </cell>
          <cell r="BB152">
            <v>105</v>
          </cell>
        </row>
        <row r="153">
          <cell r="D153" t="str">
            <v>el</v>
          </cell>
          <cell r="Y153">
            <v>698.75199999999995</v>
          </cell>
          <cell r="Z153">
            <v>692.52800000000002</v>
          </cell>
          <cell r="AA153">
            <v>481.19200000000001</v>
          </cell>
          <cell r="AB153">
            <v>479.721</v>
          </cell>
          <cell r="AC153">
            <v>481.19200000000001</v>
          </cell>
          <cell r="AD153">
            <v>515.52300000000002</v>
          </cell>
          <cell r="AE153">
            <v>551.971</v>
          </cell>
          <cell r="AF153">
            <v>543.12093140562865</v>
          </cell>
          <cell r="AG153">
            <v>465.0987988104514</v>
          </cell>
          <cell r="AH153">
            <v>638.17630557405175</v>
          </cell>
          <cell r="AI153">
            <v>546</v>
          </cell>
          <cell r="AJ153">
            <v>562</v>
          </cell>
          <cell r="AK153">
            <v>577</v>
          </cell>
          <cell r="AL153">
            <v>650</v>
          </cell>
          <cell r="AM153">
            <v>494</v>
          </cell>
          <cell r="AN153">
            <v>1693</v>
          </cell>
          <cell r="AO153">
            <v>1664</v>
          </cell>
          <cell r="AP153">
            <v>1582</v>
          </cell>
          <cell r="AQ153">
            <v>1300</v>
          </cell>
          <cell r="AR153">
            <v>1157</v>
          </cell>
          <cell r="AS153">
            <v>1050</v>
          </cell>
          <cell r="AT153">
            <v>1030</v>
          </cell>
          <cell r="AU153">
            <v>1016</v>
          </cell>
          <cell r="AV153">
            <v>842</v>
          </cell>
          <cell r="AW153">
            <v>824</v>
          </cell>
          <cell r="AX153">
            <v>746</v>
          </cell>
          <cell r="AY153">
            <v>919</v>
          </cell>
          <cell r="AZ153">
            <v>887</v>
          </cell>
          <cell r="BA153">
            <v>825</v>
          </cell>
          <cell r="BB153">
            <v>106</v>
          </cell>
        </row>
        <row r="154">
          <cell r="D154" t="str">
            <v>totalt</v>
          </cell>
          <cell r="Y154">
            <v>1034.7363141000001</v>
          </cell>
          <cell r="Z154">
            <v>1020.3533296000001</v>
          </cell>
          <cell r="AA154">
            <v>670.72217150000006</v>
          </cell>
          <cell r="AB154">
            <v>688.76838963479213</v>
          </cell>
          <cell r="AC154">
            <v>711.92101181522935</v>
          </cell>
          <cell r="AD154">
            <v>748.07715659570044</v>
          </cell>
          <cell r="AE154">
            <v>860.99186352617369</v>
          </cell>
          <cell r="AF154">
            <v>820.37635077240498</v>
          </cell>
          <cell r="AG154">
            <v>713.107171035786</v>
          </cell>
          <cell r="AH154">
            <v>890.52586873059272</v>
          </cell>
          <cell r="AI154">
            <v>774.26140306769389</v>
          </cell>
          <cell r="AJ154">
            <v>758.34584872028211</v>
          </cell>
          <cell r="AK154">
            <v>751.51717268593484</v>
          </cell>
          <cell r="AL154">
            <v>913.34039960899997</v>
          </cell>
          <cell r="AM154">
            <v>674.37475960717825</v>
          </cell>
          <cell r="AN154">
            <v>2286</v>
          </cell>
          <cell r="AO154">
            <v>2231</v>
          </cell>
          <cell r="AP154">
            <v>2101</v>
          </cell>
          <cell r="AQ154">
            <v>1700</v>
          </cell>
          <cell r="AR154">
            <v>1501</v>
          </cell>
          <cell r="AS154">
            <v>1390</v>
          </cell>
          <cell r="AT154">
            <v>1361</v>
          </cell>
          <cell r="AU154">
            <v>1376</v>
          </cell>
          <cell r="AV154">
            <v>1109</v>
          </cell>
          <cell r="AW154">
            <v>1061</v>
          </cell>
          <cell r="AX154">
            <v>961</v>
          </cell>
          <cell r="AY154">
            <v>1088</v>
          </cell>
          <cell r="AZ154">
            <v>1065</v>
          </cell>
          <cell r="BA154">
            <v>997</v>
          </cell>
          <cell r="BB154">
            <v>107</v>
          </cell>
        </row>
        <row r="156">
          <cell r="D156" t="str">
            <v>biobränsle</v>
          </cell>
          <cell r="H156">
            <v>502</v>
          </cell>
          <cell r="I156">
            <v>502</v>
          </cell>
          <cell r="J156">
            <v>461</v>
          </cell>
          <cell r="K156">
            <v>378</v>
          </cell>
          <cell r="L156">
            <v>293</v>
          </cell>
          <cell r="M156">
            <v>251</v>
          </cell>
          <cell r="N156">
            <v>795</v>
          </cell>
          <cell r="O156">
            <v>1005</v>
          </cell>
          <cell r="P156">
            <v>544</v>
          </cell>
          <cell r="Q156">
            <v>837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6.5593199999999996</v>
          </cell>
          <cell r="AF156">
            <v>165.07260565672976</v>
          </cell>
          <cell r="AG156">
            <v>239.24073000000001</v>
          </cell>
          <cell r="AH156">
            <v>1450.09104</v>
          </cell>
          <cell r="AI156">
            <v>38.378999999999998</v>
          </cell>
          <cell r="AJ156">
            <v>173.44982000000002</v>
          </cell>
          <cell r="AK156">
            <v>174.45000000000002</v>
          </cell>
          <cell r="AL156">
            <v>154.9440477</v>
          </cell>
          <cell r="AM156">
            <v>182.35840000000002</v>
          </cell>
          <cell r="AN156">
            <v>829</v>
          </cell>
          <cell r="AO156">
            <v>710</v>
          </cell>
          <cell r="AP156">
            <v>1090</v>
          </cell>
          <cell r="AQ156">
            <v>1365</v>
          </cell>
          <cell r="AR156">
            <v>1363</v>
          </cell>
          <cell r="AS156">
            <v>1415</v>
          </cell>
          <cell r="AT156">
            <v>1271</v>
          </cell>
          <cell r="AU156">
            <v>1315</v>
          </cell>
          <cell r="AV156">
            <v>1519</v>
          </cell>
          <cell r="AW156">
            <v>1036</v>
          </cell>
          <cell r="AX156">
            <v>1106</v>
          </cell>
          <cell r="AY156">
            <v>1039</v>
          </cell>
          <cell r="AZ156">
            <v>1400</v>
          </cell>
          <cell r="BA156">
            <v>1299</v>
          </cell>
          <cell r="BB156">
            <v>109</v>
          </cell>
        </row>
        <row r="157">
          <cell r="D157" t="str">
            <v>kol</v>
          </cell>
          <cell r="H157">
            <v>106</v>
          </cell>
          <cell r="I157">
            <v>163</v>
          </cell>
          <cell r="J157">
            <v>163</v>
          </cell>
          <cell r="K157">
            <v>108</v>
          </cell>
          <cell r="L157">
            <v>27</v>
          </cell>
          <cell r="M157">
            <v>0</v>
          </cell>
          <cell r="N157">
            <v>0</v>
          </cell>
          <cell r="O157">
            <v>952</v>
          </cell>
          <cell r="P157">
            <v>1252</v>
          </cell>
          <cell r="Q157">
            <v>1116</v>
          </cell>
          <cell r="Y157">
            <v>0</v>
          </cell>
          <cell r="Z157">
            <v>0</v>
          </cell>
          <cell r="AA157">
            <v>0</v>
          </cell>
          <cell r="AB157">
            <v>1.1566034999999999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11.104905500000001</v>
          </cell>
          <cell r="AI157">
            <v>3.0238</v>
          </cell>
          <cell r="AJ157">
            <v>7.5594999999999999</v>
          </cell>
          <cell r="AK157">
            <v>7.5594999999999999</v>
          </cell>
          <cell r="AL157">
            <v>18.188157</v>
          </cell>
          <cell r="AM157">
            <v>28.869730499999999</v>
          </cell>
          <cell r="AN157">
            <v>19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110</v>
          </cell>
        </row>
        <row r="158">
          <cell r="D158" t="str">
            <v>koks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56</v>
          </cell>
          <cell r="Q158">
            <v>196</v>
          </cell>
          <cell r="Y158">
            <v>59.812159600000001</v>
          </cell>
          <cell r="Z158">
            <v>165.86264059999999</v>
          </cell>
          <cell r="AA158">
            <v>131.30467709999999</v>
          </cell>
          <cell r="AB158">
            <v>188.1402545</v>
          </cell>
          <cell r="AC158">
            <v>174.45528264727659</v>
          </cell>
          <cell r="AD158">
            <v>162.59439606264937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163.63409999999999</v>
          </cell>
          <cell r="AK158">
            <v>171.42619999999999</v>
          </cell>
          <cell r="AL158">
            <v>169.92232469999999</v>
          </cell>
          <cell r="AM158">
            <v>189.93243749999999</v>
          </cell>
          <cell r="AN158">
            <v>0</v>
          </cell>
          <cell r="AO158">
            <v>32</v>
          </cell>
          <cell r="AP158">
            <v>122</v>
          </cell>
          <cell r="AQ158">
            <v>121</v>
          </cell>
          <cell r="AR158">
            <v>18</v>
          </cell>
          <cell r="AS158">
            <v>126</v>
          </cell>
          <cell r="AT158">
            <v>116</v>
          </cell>
          <cell r="AU158">
            <v>49</v>
          </cell>
          <cell r="AV158">
            <v>127</v>
          </cell>
          <cell r="AW158">
            <v>93</v>
          </cell>
          <cell r="AX158">
            <v>669</v>
          </cell>
          <cell r="AY158">
            <v>494</v>
          </cell>
          <cell r="AZ158">
            <v>487</v>
          </cell>
          <cell r="BA158">
            <v>418</v>
          </cell>
          <cell r="BB158">
            <v>111</v>
          </cell>
        </row>
        <row r="159">
          <cell r="D159" t="str">
            <v>gasol</v>
          </cell>
          <cell r="H159">
            <v>92</v>
          </cell>
          <cell r="I159">
            <v>46</v>
          </cell>
          <cell r="J159">
            <v>138</v>
          </cell>
          <cell r="K159">
            <v>46</v>
          </cell>
          <cell r="L159">
            <v>0</v>
          </cell>
          <cell r="M159">
            <v>46</v>
          </cell>
          <cell r="N159">
            <v>46</v>
          </cell>
          <cell r="O159">
            <v>46</v>
          </cell>
          <cell r="P159">
            <v>0</v>
          </cell>
          <cell r="Q159">
            <v>0</v>
          </cell>
          <cell r="Y159">
            <v>5.6033778000000005</v>
          </cell>
          <cell r="Z159">
            <v>25.458069999999999</v>
          </cell>
          <cell r="AA159">
            <v>33.402523000000002</v>
          </cell>
          <cell r="AB159">
            <v>111.401444</v>
          </cell>
          <cell r="AC159">
            <v>117.22225899999999</v>
          </cell>
          <cell r="AD159">
            <v>6.0074710432290237</v>
          </cell>
          <cell r="AE159">
            <v>69.440404000000001</v>
          </cell>
          <cell r="AF159">
            <v>231.45095599999996</v>
          </cell>
          <cell r="AG159">
            <v>208.54508949999999</v>
          </cell>
          <cell r="AH159">
            <v>358.56092469999999</v>
          </cell>
          <cell r="AI159">
            <v>610.22609999999997</v>
          </cell>
          <cell r="AJ159">
            <v>550.09899999999993</v>
          </cell>
          <cell r="AK159">
            <v>486.13780000000003</v>
          </cell>
          <cell r="AL159">
            <v>442.80757030000001</v>
          </cell>
          <cell r="AM159">
            <v>414.96978469999999</v>
          </cell>
          <cell r="AN159">
            <v>1538</v>
          </cell>
          <cell r="AO159">
            <v>886</v>
          </cell>
          <cell r="AP159">
            <v>857</v>
          </cell>
          <cell r="AQ159">
            <v>1087</v>
          </cell>
          <cell r="AR159">
            <v>1139</v>
          </cell>
          <cell r="AS159">
            <v>573</v>
          </cell>
          <cell r="AT159">
            <v>717</v>
          </cell>
          <cell r="AU159">
            <v>702</v>
          </cell>
          <cell r="AV159">
            <v>575</v>
          </cell>
          <cell r="AW159">
            <v>633</v>
          </cell>
          <cell r="AX159">
            <v>1081</v>
          </cell>
          <cell r="AY159">
            <v>624</v>
          </cell>
          <cell r="AZ159">
            <v>803</v>
          </cell>
          <cell r="BA159">
            <v>926</v>
          </cell>
          <cell r="BB159">
            <v>112</v>
          </cell>
        </row>
        <row r="160">
          <cell r="D160" t="str">
            <v>bensin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1</v>
          </cell>
          <cell r="AQ160">
            <v>1</v>
          </cell>
          <cell r="AR160">
            <v>2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113</v>
          </cell>
        </row>
        <row r="161">
          <cell r="D161" t="str">
            <v>lättoljor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114</v>
          </cell>
        </row>
        <row r="162">
          <cell r="D162" t="str">
            <v>diesel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Y162">
            <v>5.5853074999999999</v>
          </cell>
          <cell r="Z162">
            <v>3.3314135000000005</v>
          </cell>
          <cell r="AA162">
            <v>11.6550045</v>
          </cell>
          <cell r="AB162">
            <v>12.485386499999999</v>
          </cell>
          <cell r="AC162">
            <v>3.5884365000000003</v>
          </cell>
          <cell r="AD162">
            <v>6.4453460000000007</v>
          </cell>
          <cell r="AE162">
            <v>4.3100779999999999</v>
          </cell>
          <cell r="AF162">
            <v>0.49683151166194989</v>
          </cell>
          <cell r="AG162">
            <v>3.2622150000000003</v>
          </cell>
          <cell r="AH162">
            <v>2.0667488153306759</v>
          </cell>
          <cell r="AI162">
            <v>3.9542000000000002</v>
          </cell>
          <cell r="AJ162">
            <v>0</v>
          </cell>
          <cell r="AK162">
            <v>0</v>
          </cell>
          <cell r="AL162">
            <v>0.16439445000000003</v>
          </cell>
          <cell r="AM162">
            <v>0.64761450000000009</v>
          </cell>
          <cell r="AN162">
            <v>2</v>
          </cell>
          <cell r="AO162">
            <v>4</v>
          </cell>
          <cell r="AP162">
            <v>1</v>
          </cell>
          <cell r="AQ162">
            <v>5</v>
          </cell>
          <cell r="AR162">
            <v>22</v>
          </cell>
          <cell r="AS162">
            <v>8</v>
          </cell>
          <cell r="AT162">
            <v>7</v>
          </cell>
          <cell r="AU162">
            <v>18</v>
          </cell>
          <cell r="AV162">
            <v>9</v>
          </cell>
          <cell r="AW162">
            <v>19</v>
          </cell>
          <cell r="AX162">
            <v>10</v>
          </cell>
          <cell r="AY162">
            <v>31</v>
          </cell>
          <cell r="AZ162">
            <v>33</v>
          </cell>
          <cell r="BA162">
            <v>42</v>
          </cell>
          <cell r="BB162">
            <v>115</v>
          </cell>
        </row>
        <row r="163">
          <cell r="D163" t="str">
            <v>eo1</v>
          </cell>
          <cell r="H163">
            <v>2135</v>
          </cell>
          <cell r="I163">
            <v>1851</v>
          </cell>
          <cell r="J163">
            <v>1851</v>
          </cell>
          <cell r="K163">
            <v>2314</v>
          </cell>
          <cell r="L163">
            <v>2135</v>
          </cell>
          <cell r="M163">
            <v>2171</v>
          </cell>
          <cell r="N163">
            <v>2349</v>
          </cell>
          <cell r="O163">
            <v>1530</v>
          </cell>
          <cell r="P163">
            <v>1388</v>
          </cell>
          <cell r="Q163">
            <v>1317</v>
          </cell>
          <cell r="Y163">
            <v>57.80051850000001</v>
          </cell>
          <cell r="Z163">
            <v>61.112161000000008</v>
          </cell>
          <cell r="AA163">
            <v>87.081369499999994</v>
          </cell>
          <cell r="AB163">
            <v>105.39920100000002</v>
          </cell>
          <cell r="AC163">
            <v>85.38106350000001</v>
          </cell>
          <cell r="AD163">
            <v>64.641284499999998</v>
          </cell>
          <cell r="AE163">
            <v>57.2073885</v>
          </cell>
          <cell r="AF163">
            <v>189.58411900000002</v>
          </cell>
          <cell r="AG163">
            <v>136.46932749999999</v>
          </cell>
          <cell r="AH163">
            <v>65.306296207142864</v>
          </cell>
          <cell r="AI163">
            <v>50.416049999999998</v>
          </cell>
          <cell r="AJ163">
            <v>89.669700000000006</v>
          </cell>
          <cell r="AK163">
            <v>79.706400000000002</v>
          </cell>
          <cell r="AL163">
            <v>90.538898291999999</v>
          </cell>
          <cell r="AM163">
            <v>99.63300000000001</v>
          </cell>
          <cell r="AN163">
            <v>721</v>
          </cell>
          <cell r="AO163">
            <v>647</v>
          </cell>
          <cell r="AP163">
            <v>501</v>
          </cell>
          <cell r="AQ163">
            <v>463</v>
          </cell>
          <cell r="AR163">
            <v>416</v>
          </cell>
          <cell r="AS163">
            <v>663</v>
          </cell>
          <cell r="AT163">
            <v>681</v>
          </cell>
          <cell r="AU163">
            <v>650</v>
          </cell>
          <cell r="AV163">
            <v>571</v>
          </cell>
          <cell r="AW163">
            <v>488</v>
          </cell>
          <cell r="AX163">
            <v>447</v>
          </cell>
          <cell r="AY163">
            <v>328</v>
          </cell>
          <cell r="AZ163">
            <v>307</v>
          </cell>
          <cell r="BA163">
            <v>212</v>
          </cell>
          <cell r="BB163">
            <v>116</v>
          </cell>
        </row>
        <row r="164">
          <cell r="D164" t="str">
            <v>eo2-6</v>
          </cell>
          <cell r="H164">
            <v>17483</v>
          </cell>
          <cell r="I164">
            <v>18884</v>
          </cell>
          <cell r="J164">
            <v>18261</v>
          </cell>
          <cell r="K164">
            <v>18416</v>
          </cell>
          <cell r="L164">
            <v>18417</v>
          </cell>
          <cell r="M164">
            <v>18378</v>
          </cell>
          <cell r="N164">
            <v>16899</v>
          </cell>
          <cell r="O164">
            <v>17639</v>
          </cell>
          <cell r="P164">
            <v>16003</v>
          </cell>
          <cell r="Q164">
            <v>13823</v>
          </cell>
          <cell r="Y164">
            <v>352.40365379999997</v>
          </cell>
          <cell r="Z164">
            <v>274.63733279999997</v>
          </cell>
          <cell r="AA164">
            <v>220.64435999999998</v>
          </cell>
          <cell r="AB164">
            <v>254.396203756158</v>
          </cell>
          <cell r="AC164">
            <v>364.93928189999997</v>
          </cell>
          <cell r="AD164">
            <v>338.82969930000002</v>
          </cell>
          <cell r="AE164">
            <v>397.4735091</v>
          </cell>
          <cell r="AF164">
            <v>586.78420679999999</v>
          </cell>
          <cell r="AG164">
            <v>432.97129289999998</v>
          </cell>
          <cell r="AH164">
            <v>480.93169747499996</v>
          </cell>
          <cell r="AI164">
            <v>358.00628999999998</v>
          </cell>
          <cell r="AJ164">
            <v>285.96780000000001</v>
          </cell>
          <cell r="AK164">
            <v>370.69900000000001</v>
          </cell>
          <cell r="AL164">
            <v>898.30091450000009</v>
          </cell>
          <cell r="AM164">
            <v>560.899</v>
          </cell>
          <cell r="AN164">
            <v>1132</v>
          </cell>
          <cell r="AO164">
            <v>1069</v>
          </cell>
          <cell r="AP164">
            <v>927</v>
          </cell>
          <cell r="AQ164">
            <v>638</v>
          </cell>
          <cell r="AR164">
            <v>836</v>
          </cell>
          <cell r="AS164">
            <v>697</v>
          </cell>
          <cell r="AT164">
            <v>611</v>
          </cell>
          <cell r="AU164">
            <v>574</v>
          </cell>
          <cell r="AV164">
            <v>411</v>
          </cell>
          <cell r="AW164">
            <v>280</v>
          </cell>
          <cell r="AX164">
            <v>400</v>
          </cell>
          <cell r="AY164">
            <v>293</v>
          </cell>
          <cell r="AZ164">
            <v>146</v>
          </cell>
          <cell r="BA164">
            <v>207</v>
          </cell>
          <cell r="BB164">
            <v>117</v>
          </cell>
        </row>
        <row r="165">
          <cell r="D165" t="str">
            <v>övriga petroleumprodukter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87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310</v>
          </cell>
          <cell r="AZ165">
            <v>313</v>
          </cell>
          <cell r="BA165">
            <v>319</v>
          </cell>
          <cell r="BB165">
            <v>118</v>
          </cell>
        </row>
        <row r="166">
          <cell r="D166" t="str">
            <v>naturgas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Y166">
            <v>553.16520000000003</v>
          </cell>
          <cell r="Z166">
            <v>471.20400000000006</v>
          </cell>
          <cell r="AA166">
            <v>124.68600000000001</v>
          </cell>
          <cell r="AB166">
            <v>251.49528000000001</v>
          </cell>
          <cell r="AC166">
            <v>436.14612000000005</v>
          </cell>
          <cell r="AD166">
            <v>441.22968000000003</v>
          </cell>
          <cell r="AE166">
            <v>327.92364000000003</v>
          </cell>
          <cell r="AF166">
            <v>222.27696</v>
          </cell>
          <cell r="AG166">
            <v>221.14944</v>
          </cell>
          <cell r="AH166">
            <v>203.19951600000002</v>
          </cell>
          <cell r="AI166">
            <v>590.976</v>
          </cell>
          <cell r="AJ166">
            <v>579.41999999999996</v>
          </cell>
          <cell r="AK166">
            <v>693</v>
          </cell>
          <cell r="AL166">
            <v>702.16562204999991</v>
          </cell>
          <cell r="AM166">
            <v>1226.2725</v>
          </cell>
          <cell r="AN166">
            <v>1957</v>
          </cell>
          <cell r="AO166">
            <v>3163</v>
          </cell>
          <cell r="AP166">
            <v>3221</v>
          </cell>
          <cell r="AQ166">
            <v>3250</v>
          </cell>
          <cell r="AR166">
            <v>3131</v>
          </cell>
          <cell r="AS166">
            <v>3837</v>
          </cell>
          <cell r="AT166">
            <v>4138</v>
          </cell>
          <cell r="AU166">
            <v>4137</v>
          </cell>
          <cell r="AV166">
            <v>3621</v>
          </cell>
          <cell r="AW166">
            <v>3683</v>
          </cell>
          <cell r="AX166">
            <v>3110</v>
          </cell>
          <cell r="AY166">
            <v>3246</v>
          </cell>
          <cell r="AZ166">
            <v>3119</v>
          </cell>
          <cell r="BA166">
            <v>2765</v>
          </cell>
          <cell r="BB166">
            <v>119</v>
          </cell>
        </row>
        <row r="167">
          <cell r="D167" t="str">
            <v>stadsgas</v>
          </cell>
          <cell r="H167">
            <v>17</v>
          </cell>
          <cell r="I167">
            <v>17</v>
          </cell>
          <cell r="J167">
            <v>17</v>
          </cell>
          <cell r="K167">
            <v>0</v>
          </cell>
          <cell r="L167">
            <v>0</v>
          </cell>
          <cell r="M167">
            <v>50</v>
          </cell>
          <cell r="N167">
            <v>0</v>
          </cell>
          <cell r="O167">
            <v>33</v>
          </cell>
          <cell r="P167">
            <v>33</v>
          </cell>
          <cell r="Q167">
            <v>17</v>
          </cell>
          <cell r="Y167">
            <v>0</v>
          </cell>
          <cell r="Z167">
            <v>0</v>
          </cell>
          <cell r="AA167">
            <v>9.3039999999999998E-3</v>
          </cell>
          <cell r="AB167">
            <v>0</v>
          </cell>
          <cell r="AC167">
            <v>0.21399200000000002</v>
          </cell>
          <cell r="AD167">
            <v>4.6519999999999999E-3</v>
          </cell>
          <cell r="AE167">
            <v>4.6519999999999999E-3</v>
          </cell>
          <cell r="AF167">
            <v>0.13597066680634856</v>
          </cell>
          <cell r="AG167">
            <v>0</v>
          </cell>
          <cell r="AH167">
            <v>1.8608E-2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120</v>
          </cell>
        </row>
        <row r="168">
          <cell r="D168" t="str">
            <v>masugnsgas m.m.</v>
          </cell>
          <cell r="H168">
            <v>37</v>
          </cell>
          <cell r="I168">
            <v>37</v>
          </cell>
          <cell r="J168">
            <v>37</v>
          </cell>
          <cell r="K168">
            <v>41</v>
          </cell>
          <cell r="L168">
            <v>37</v>
          </cell>
          <cell r="M168">
            <v>37</v>
          </cell>
          <cell r="N168">
            <v>37</v>
          </cell>
          <cell r="O168">
            <v>37</v>
          </cell>
          <cell r="P168">
            <v>27</v>
          </cell>
          <cell r="Q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1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121</v>
          </cell>
        </row>
        <row r="169">
          <cell r="D169" t="str">
            <v>övriga bränslen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426.27439000000004</v>
          </cell>
          <cell r="AH169">
            <v>1.9538400000000002</v>
          </cell>
          <cell r="AI169">
            <v>17.445</v>
          </cell>
          <cell r="AJ169">
            <v>69.109204860000006</v>
          </cell>
          <cell r="AK169">
            <v>70.532228400000008</v>
          </cell>
          <cell r="AL169">
            <v>69.676260400000004</v>
          </cell>
          <cell r="AM169">
            <v>90.051090000000002</v>
          </cell>
          <cell r="AN169">
            <v>16798</v>
          </cell>
          <cell r="AO169">
            <v>17211</v>
          </cell>
          <cell r="AP169">
            <v>18887</v>
          </cell>
          <cell r="AQ169">
            <v>17282</v>
          </cell>
          <cell r="AR169">
            <v>12345</v>
          </cell>
          <cell r="AS169">
            <v>13042</v>
          </cell>
          <cell r="AT169">
            <v>12845</v>
          </cell>
          <cell r="AU169">
            <v>11493</v>
          </cell>
          <cell r="AV169">
            <v>16913</v>
          </cell>
          <cell r="AW169">
            <v>16281</v>
          </cell>
          <cell r="AX169">
            <v>14523</v>
          </cell>
          <cell r="AY169">
            <v>18409</v>
          </cell>
          <cell r="AZ169">
            <v>17801</v>
          </cell>
          <cell r="BA169">
            <v>17499</v>
          </cell>
          <cell r="BB169">
            <v>122</v>
          </cell>
        </row>
        <row r="170">
          <cell r="D170" t="str">
            <v>fjärrvärme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Y170">
            <v>449.803</v>
          </cell>
          <cell r="Z170">
            <v>397.887</v>
          </cell>
          <cell r="AA170">
            <v>431.8</v>
          </cell>
          <cell r="AB170">
            <v>353.56763005713572</v>
          </cell>
          <cell r="AC170">
            <v>296.2</v>
          </cell>
          <cell r="AD170">
            <v>299.3621510290306</v>
          </cell>
          <cell r="AE170">
            <v>320.14770142143914</v>
          </cell>
          <cell r="AF170">
            <v>192.64685927252251</v>
          </cell>
          <cell r="AG170">
            <v>6.3498999999999999</v>
          </cell>
          <cell r="AH170">
            <v>7.8718642857142846</v>
          </cell>
          <cell r="AI170">
            <v>154.14926365481367</v>
          </cell>
          <cell r="AJ170">
            <v>13.963178465518688</v>
          </cell>
          <cell r="AK170">
            <v>14.203385065573411</v>
          </cell>
          <cell r="AL170">
            <v>61</v>
          </cell>
          <cell r="AM170">
            <v>24</v>
          </cell>
          <cell r="AN170">
            <v>1022</v>
          </cell>
          <cell r="AO170">
            <v>600</v>
          </cell>
          <cell r="AP170">
            <v>622</v>
          </cell>
          <cell r="AQ170">
            <v>529</v>
          </cell>
          <cell r="AR170">
            <v>415</v>
          </cell>
          <cell r="AS170">
            <v>449</v>
          </cell>
          <cell r="AT170">
            <v>352</v>
          </cell>
          <cell r="AU170">
            <v>361</v>
          </cell>
          <cell r="AV170">
            <v>368</v>
          </cell>
          <cell r="AW170">
            <v>358</v>
          </cell>
          <cell r="AX170">
            <v>371</v>
          </cell>
          <cell r="AY170">
            <v>352</v>
          </cell>
          <cell r="AZ170">
            <v>359</v>
          </cell>
          <cell r="BA170">
            <v>387</v>
          </cell>
          <cell r="BB170">
            <v>123</v>
          </cell>
        </row>
        <row r="171">
          <cell r="D171" t="str">
            <v>el</v>
          </cell>
          <cell r="H171">
            <v>19321</v>
          </cell>
          <cell r="I171">
            <v>19847</v>
          </cell>
          <cell r="J171">
            <v>19134</v>
          </cell>
          <cell r="K171">
            <v>19357</v>
          </cell>
          <cell r="L171">
            <v>17906</v>
          </cell>
          <cell r="M171">
            <v>17975</v>
          </cell>
          <cell r="N171">
            <v>18403</v>
          </cell>
          <cell r="O171">
            <v>18302</v>
          </cell>
          <cell r="P171">
            <v>17564</v>
          </cell>
          <cell r="Q171">
            <v>17514</v>
          </cell>
          <cell r="Y171">
            <v>4960.7209999999995</v>
          </cell>
          <cell r="Z171">
            <v>4116.5209999999997</v>
          </cell>
          <cell r="AA171">
            <v>4022.011</v>
          </cell>
          <cell r="AB171">
            <v>4007.212</v>
          </cell>
          <cell r="AC171">
            <v>4059.2979999999998</v>
          </cell>
          <cell r="AD171">
            <v>3938.3890000000001</v>
          </cell>
          <cell r="AE171">
            <v>3831.5970000000002</v>
          </cell>
          <cell r="AF171">
            <v>3782.6924212086133</v>
          </cell>
          <cell r="AG171">
            <v>4036.58</v>
          </cell>
          <cell r="AH171">
            <v>4239.9300106808405</v>
          </cell>
          <cell r="AI171">
            <v>4451</v>
          </cell>
          <cell r="AJ171">
            <v>4755</v>
          </cell>
          <cell r="AK171">
            <v>4776</v>
          </cell>
          <cell r="AL171">
            <v>4894</v>
          </cell>
          <cell r="AM171">
            <v>4794</v>
          </cell>
          <cell r="AN171">
            <v>17343</v>
          </cell>
          <cell r="AO171">
            <v>16910</v>
          </cell>
          <cell r="AP171">
            <v>16771</v>
          </cell>
          <cell r="AQ171">
            <v>16149</v>
          </cell>
          <cell r="AR171">
            <v>14584</v>
          </cell>
          <cell r="AS171">
            <v>15893</v>
          </cell>
          <cell r="AT171">
            <v>15186</v>
          </cell>
          <cell r="AU171">
            <v>15213</v>
          </cell>
          <cell r="AV171">
            <v>15274</v>
          </cell>
          <cell r="AW171">
            <v>14874</v>
          </cell>
          <cell r="AX171">
            <v>14557</v>
          </cell>
          <cell r="AY171">
            <v>15294</v>
          </cell>
          <cell r="AZ171">
            <v>15429</v>
          </cell>
          <cell r="BA171">
            <v>14401</v>
          </cell>
          <cell r="BB171">
            <v>124</v>
          </cell>
        </row>
        <row r="172">
          <cell r="D172" t="str">
            <v>totalt</v>
          </cell>
          <cell r="Y172">
            <v>6444.8942171999997</v>
          </cell>
          <cell r="Z172">
            <v>5516.0136179000001</v>
          </cell>
          <cell r="AA172">
            <v>5062.5942381000004</v>
          </cell>
          <cell r="AB172">
            <v>5285.2540033132937</v>
          </cell>
          <cell r="AC172">
            <v>5537.444435547277</v>
          </cell>
          <cell r="AD172">
            <v>5257.5036799349091</v>
          </cell>
          <cell r="AE172">
            <v>5014.663693021439</v>
          </cell>
          <cell r="AF172">
            <v>5371.1409301163339</v>
          </cell>
          <cell r="AG172">
            <v>5710.8423848999992</v>
          </cell>
          <cell r="AH172">
            <v>6821.0354516640282</v>
          </cell>
          <cell r="AI172">
            <v>6277.5757036548139</v>
          </cell>
          <cell r="AJ172">
            <v>6687.8723033255183</v>
          </cell>
          <cell r="AK172">
            <v>6843.7145134655739</v>
          </cell>
          <cell r="AL172">
            <v>7501.7081893920003</v>
          </cell>
          <cell r="AM172">
            <v>7611.6335571999998</v>
          </cell>
          <cell r="AN172">
            <v>41448</v>
          </cell>
          <cell r="AO172">
            <v>41233</v>
          </cell>
          <cell r="AP172">
            <v>43000</v>
          </cell>
          <cell r="AQ172">
            <v>40890</v>
          </cell>
          <cell r="AR172">
            <v>34271</v>
          </cell>
          <cell r="AS172">
            <v>36703</v>
          </cell>
          <cell r="AT172">
            <v>35924</v>
          </cell>
          <cell r="AU172">
            <v>34512</v>
          </cell>
          <cell r="AV172">
            <v>39388</v>
          </cell>
          <cell r="AW172">
            <v>37745</v>
          </cell>
          <cell r="AX172">
            <v>36274</v>
          </cell>
          <cell r="AY172">
            <v>40420</v>
          </cell>
          <cell r="AZ172">
            <v>40198</v>
          </cell>
          <cell r="BA172">
            <v>38475</v>
          </cell>
          <cell r="BB172">
            <v>125</v>
          </cell>
        </row>
        <row r="174">
          <cell r="D174" t="str">
            <v>biobränsle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1.6747200000000002</v>
          </cell>
          <cell r="AF174">
            <v>8.5024343270242025E-2</v>
          </cell>
          <cell r="AG174">
            <v>0.45356999999999659</v>
          </cell>
          <cell r="AH174">
            <v>0</v>
          </cell>
          <cell r="AI174">
            <v>0</v>
          </cell>
          <cell r="AJ174">
            <v>0.2334955100000066</v>
          </cell>
          <cell r="AK174">
            <v>0</v>
          </cell>
          <cell r="AL174">
            <v>0.2698160000000116</v>
          </cell>
          <cell r="AM174">
            <v>6.9780000000002645E-2</v>
          </cell>
          <cell r="AN174">
            <v>1</v>
          </cell>
          <cell r="AO174">
            <v>0</v>
          </cell>
          <cell r="AP174">
            <v>0</v>
          </cell>
          <cell r="AQ174">
            <v>23</v>
          </cell>
          <cell r="AR174">
            <v>0</v>
          </cell>
          <cell r="AS174">
            <v>0</v>
          </cell>
          <cell r="AT174">
            <v>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22</v>
          </cell>
          <cell r="BA174">
            <v>22</v>
          </cell>
          <cell r="BB174">
            <v>127</v>
          </cell>
        </row>
        <row r="175">
          <cell r="D175" t="str">
            <v>kol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0.60475999999999996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128</v>
          </cell>
        </row>
        <row r="176">
          <cell r="D176" t="str">
            <v>koks</v>
          </cell>
          <cell r="Y176">
            <v>3.1168399999996564E-2</v>
          </cell>
          <cell r="Z176">
            <v>0.17142619999998804</v>
          </cell>
          <cell r="AA176">
            <v>0</v>
          </cell>
          <cell r="AB176">
            <v>2.3298378999999958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129</v>
          </cell>
        </row>
        <row r="177">
          <cell r="D177" t="str">
            <v>gasol</v>
          </cell>
          <cell r="Y177">
            <v>34.9635423</v>
          </cell>
          <cell r="Z177">
            <v>118.488766</v>
          </cell>
          <cell r="AA177">
            <v>96.58714999999998</v>
          </cell>
          <cell r="AB177">
            <v>4.2088970000000074</v>
          </cell>
          <cell r="AC177">
            <v>4.2984480000000032</v>
          </cell>
          <cell r="AD177">
            <v>3.5488999567709762</v>
          </cell>
          <cell r="AE177">
            <v>1.0874049999999995</v>
          </cell>
          <cell r="AF177">
            <v>16.426212000000032</v>
          </cell>
          <cell r="AG177">
            <v>7.9892284999999692</v>
          </cell>
          <cell r="AH177">
            <v>9.18665329999995</v>
          </cell>
          <cell r="AI177">
            <v>20.468799999999927</v>
          </cell>
          <cell r="AJ177">
            <v>25.585999999999999</v>
          </cell>
          <cell r="AK177">
            <v>12.793100000000001</v>
          </cell>
          <cell r="AL177">
            <v>20.653692364000026</v>
          </cell>
          <cell r="AM177">
            <v>15.40289240000001</v>
          </cell>
          <cell r="AN177">
            <v>4</v>
          </cell>
          <cell r="AO177">
            <v>4</v>
          </cell>
          <cell r="AP177">
            <v>4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130</v>
          </cell>
        </row>
        <row r="178">
          <cell r="D178" t="str">
            <v>bensin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1</v>
          </cell>
          <cell r="AZ178">
            <v>1</v>
          </cell>
          <cell r="BA178">
            <v>0</v>
          </cell>
          <cell r="BB178">
            <v>131</v>
          </cell>
        </row>
        <row r="179">
          <cell r="D179" t="str">
            <v>lättoljor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132</v>
          </cell>
        </row>
        <row r="180">
          <cell r="D180" t="str">
            <v>diesel</v>
          </cell>
          <cell r="Y180">
            <v>0.91935150000000088</v>
          </cell>
          <cell r="Z180">
            <v>0.5041604999999999</v>
          </cell>
          <cell r="AA180">
            <v>0.55358800000000052</v>
          </cell>
          <cell r="AB180">
            <v>3.5587800000000009</v>
          </cell>
          <cell r="AC180">
            <v>1.0379775000000004</v>
          </cell>
          <cell r="AD180">
            <v>0.48438949999999936</v>
          </cell>
          <cell r="AE180">
            <v>9.8855000000000089E-3</v>
          </cell>
          <cell r="AF180">
            <v>0</v>
          </cell>
          <cell r="AG180">
            <v>1.4828249999999998</v>
          </cell>
          <cell r="AH180">
            <v>3.0539401846693242</v>
          </cell>
          <cell r="AI180">
            <v>1.9770999999999996</v>
          </cell>
          <cell r="AJ180">
            <v>9.9633000000000003</v>
          </cell>
          <cell r="AK180">
            <v>0</v>
          </cell>
          <cell r="AL180">
            <v>2.4190892399999995</v>
          </cell>
          <cell r="AM180">
            <v>6.9743099999999919E-2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133</v>
          </cell>
        </row>
        <row r="181">
          <cell r="D181" t="str">
            <v>eo1</v>
          </cell>
          <cell r="Y181">
            <v>95.721296500000008</v>
          </cell>
          <cell r="Z181">
            <v>109.472027</v>
          </cell>
          <cell r="AA181">
            <v>105.65622400000001</v>
          </cell>
          <cell r="AB181">
            <v>86.409155499999983</v>
          </cell>
          <cell r="AC181">
            <v>101.85030650000002</v>
          </cell>
          <cell r="AD181">
            <v>237.84513000000004</v>
          </cell>
          <cell r="AE181">
            <v>187.64656099999999</v>
          </cell>
          <cell r="AF181">
            <v>95.8399225</v>
          </cell>
          <cell r="AG181">
            <v>54.182425500000015</v>
          </cell>
          <cell r="AH181">
            <v>134.40057479285716</v>
          </cell>
          <cell r="AI181">
            <v>126.53439999999999</v>
          </cell>
          <cell r="AJ181">
            <v>119.5596</v>
          </cell>
          <cell r="AK181">
            <v>69.743099999999998</v>
          </cell>
          <cell r="AL181">
            <v>152.64403287900001</v>
          </cell>
          <cell r="AM181">
            <v>179.33940000000001</v>
          </cell>
          <cell r="AN181">
            <v>74</v>
          </cell>
          <cell r="AO181">
            <v>217</v>
          </cell>
          <cell r="AP181">
            <v>186</v>
          </cell>
          <cell r="AQ181">
            <v>189</v>
          </cell>
          <cell r="AR181">
            <v>237</v>
          </cell>
          <cell r="AS181">
            <v>280</v>
          </cell>
          <cell r="AT181">
            <v>171</v>
          </cell>
          <cell r="AU181">
            <v>116</v>
          </cell>
          <cell r="AV181">
            <v>103</v>
          </cell>
          <cell r="AW181">
            <v>100</v>
          </cell>
          <cell r="AX181">
            <v>47</v>
          </cell>
          <cell r="AY181">
            <v>20</v>
          </cell>
          <cell r="AZ181">
            <v>8</v>
          </cell>
          <cell r="BA181">
            <v>54</v>
          </cell>
          <cell r="BB181">
            <v>134</v>
          </cell>
        </row>
        <row r="182">
          <cell r="D182" t="str">
            <v>eo2-6</v>
          </cell>
          <cell r="Y182">
            <v>290.16896519999995</v>
          </cell>
          <cell r="Z182">
            <v>205.88065649999999</v>
          </cell>
          <cell r="AA182">
            <v>239.57218499999996</v>
          </cell>
          <cell r="AB182">
            <v>217.068877243842</v>
          </cell>
          <cell r="AC182">
            <v>301.29852629999999</v>
          </cell>
          <cell r="AD182">
            <v>262.16660009999998</v>
          </cell>
          <cell r="AE182">
            <v>368.64913559999991</v>
          </cell>
          <cell r="AF182">
            <v>368.98442849999998</v>
          </cell>
          <cell r="AG182">
            <v>483.7411275</v>
          </cell>
          <cell r="AH182">
            <v>430.35114112500003</v>
          </cell>
          <cell r="AI182">
            <v>377.47490999999997</v>
          </cell>
          <cell r="AJ182">
            <v>370.69900000000001</v>
          </cell>
          <cell r="AK182">
            <v>423.65600000000001</v>
          </cell>
          <cell r="AL182">
            <v>144.75427399999998</v>
          </cell>
          <cell r="AM182">
            <v>116.413</v>
          </cell>
          <cell r="AN182">
            <v>144</v>
          </cell>
          <cell r="AO182">
            <v>103</v>
          </cell>
          <cell r="AP182">
            <v>84</v>
          </cell>
          <cell r="AQ182">
            <v>108</v>
          </cell>
          <cell r="AR182">
            <v>82</v>
          </cell>
          <cell r="AS182">
            <v>65</v>
          </cell>
          <cell r="AT182">
            <v>38</v>
          </cell>
          <cell r="AU182">
            <v>54</v>
          </cell>
          <cell r="AV182">
            <v>70</v>
          </cell>
          <cell r="AW182">
            <v>76</v>
          </cell>
          <cell r="AX182">
            <v>57</v>
          </cell>
          <cell r="AY182">
            <v>61</v>
          </cell>
          <cell r="AZ182">
            <v>52</v>
          </cell>
          <cell r="BA182">
            <v>1</v>
          </cell>
          <cell r="BB182">
            <v>135</v>
          </cell>
        </row>
        <row r="183">
          <cell r="D183" t="str">
            <v>övriga petroleumprodukter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136</v>
          </cell>
        </row>
        <row r="184">
          <cell r="D184" t="str">
            <v>naturgas</v>
          </cell>
          <cell r="Y184">
            <v>86.821200000000019</v>
          </cell>
          <cell r="Z184">
            <v>90.80639999999994</v>
          </cell>
          <cell r="AA184">
            <v>97.718400000000003</v>
          </cell>
          <cell r="AB184">
            <v>95.110200000000006</v>
          </cell>
          <cell r="AC184">
            <v>88.442279999999968</v>
          </cell>
          <cell r="AD184">
            <v>101.66148000000004</v>
          </cell>
          <cell r="AE184">
            <v>124.70759999999999</v>
          </cell>
          <cell r="AF184">
            <v>160.68132000000003</v>
          </cell>
          <cell r="AG184">
            <v>140.94972000000001</v>
          </cell>
          <cell r="AH184">
            <v>154.50620400000003</v>
          </cell>
          <cell r="AI184">
            <v>137.05200000000008</v>
          </cell>
          <cell r="AJ184">
            <v>79.92</v>
          </cell>
          <cell r="AK184">
            <v>99</v>
          </cell>
          <cell r="AL184">
            <v>161.03918655000007</v>
          </cell>
          <cell r="AM184">
            <v>176.76</v>
          </cell>
          <cell r="AN184">
            <v>77</v>
          </cell>
          <cell r="AO184">
            <v>83</v>
          </cell>
          <cell r="AP184">
            <v>88</v>
          </cell>
          <cell r="AQ184">
            <v>125</v>
          </cell>
          <cell r="AR184">
            <v>126</v>
          </cell>
          <cell r="AS184">
            <v>141</v>
          </cell>
          <cell r="AT184">
            <v>130</v>
          </cell>
          <cell r="AU184">
            <v>134</v>
          </cell>
          <cell r="AV184">
            <v>119</v>
          </cell>
          <cell r="AW184">
            <v>102</v>
          </cell>
          <cell r="AX184">
            <v>93</v>
          </cell>
          <cell r="AY184">
            <v>71</v>
          </cell>
          <cell r="AZ184">
            <v>53</v>
          </cell>
          <cell r="BA184">
            <v>43</v>
          </cell>
          <cell r="BB184">
            <v>137</v>
          </cell>
        </row>
        <row r="185">
          <cell r="D185" t="str">
            <v>stadsgas</v>
          </cell>
          <cell r="Y185">
            <v>3.2564000000000003E-2</v>
          </cell>
          <cell r="Z185">
            <v>0.66523599999999994</v>
          </cell>
          <cell r="AA185">
            <v>0.20934</v>
          </cell>
          <cell r="AB185">
            <v>0.22329600000000002</v>
          </cell>
          <cell r="AC185">
            <v>0</v>
          </cell>
          <cell r="AD185">
            <v>1.8049760000000001</v>
          </cell>
          <cell r="AE185">
            <v>3.6285600000000002</v>
          </cell>
          <cell r="AF185">
            <v>40.207842019799905</v>
          </cell>
          <cell r="AG185">
            <v>35.428701600000004</v>
          </cell>
          <cell r="AH185">
            <v>35.071428000000004</v>
          </cell>
          <cell r="AI185">
            <v>30.703199999999999</v>
          </cell>
          <cell r="AJ185">
            <v>27.911999999999999</v>
          </cell>
          <cell r="AK185">
            <v>27.911999999999999</v>
          </cell>
          <cell r="AL185">
            <v>30.612951199999998</v>
          </cell>
          <cell r="AM185">
            <v>23.26</v>
          </cell>
          <cell r="AN185">
            <v>223</v>
          </cell>
          <cell r="AO185">
            <v>88</v>
          </cell>
          <cell r="AP185">
            <v>6</v>
          </cell>
          <cell r="AQ185">
            <v>6</v>
          </cell>
          <cell r="AR185">
            <v>6</v>
          </cell>
          <cell r="AS185">
            <v>6</v>
          </cell>
          <cell r="AT185">
            <v>4</v>
          </cell>
          <cell r="AU185">
            <v>5</v>
          </cell>
          <cell r="AV185">
            <v>6</v>
          </cell>
          <cell r="AW185">
            <v>5</v>
          </cell>
          <cell r="AX185">
            <v>5</v>
          </cell>
          <cell r="AY185">
            <v>5</v>
          </cell>
          <cell r="AZ185">
            <v>6</v>
          </cell>
          <cell r="BA185">
            <v>6</v>
          </cell>
          <cell r="BB185">
            <v>138</v>
          </cell>
        </row>
        <row r="186">
          <cell r="D186" t="str">
            <v>masugnsgas m.m.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139</v>
          </cell>
        </row>
        <row r="187">
          <cell r="D187" t="str">
            <v>övriga bränslen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0.11629999999997687</v>
          </cell>
          <cell r="AH187">
            <v>1.3490799999999996</v>
          </cell>
          <cell r="AI187">
            <v>0</v>
          </cell>
          <cell r="AJ187">
            <v>0</v>
          </cell>
          <cell r="AK187">
            <v>0</v>
          </cell>
          <cell r="AL187">
            <v>4.0937599999999949E-2</v>
          </cell>
          <cell r="AM187">
            <v>2.4306700000000001</v>
          </cell>
          <cell r="AN187">
            <v>57</v>
          </cell>
          <cell r="AO187">
            <v>73</v>
          </cell>
          <cell r="AP187">
            <v>66</v>
          </cell>
          <cell r="AQ187">
            <v>15</v>
          </cell>
          <cell r="AR187">
            <v>45</v>
          </cell>
          <cell r="AS187">
            <v>57</v>
          </cell>
          <cell r="AT187">
            <v>64</v>
          </cell>
          <cell r="AU187">
            <v>65</v>
          </cell>
          <cell r="AV187">
            <v>18</v>
          </cell>
          <cell r="AW187">
            <v>48</v>
          </cell>
          <cell r="AX187">
            <v>0</v>
          </cell>
          <cell r="AY187">
            <v>28</v>
          </cell>
          <cell r="AZ187">
            <v>37</v>
          </cell>
          <cell r="BA187">
            <v>39</v>
          </cell>
          <cell r="BB187">
            <v>140</v>
          </cell>
        </row>
        <row r="188">
          <cell r="D188" t="str">
            <v>fjärrvärme</v>
          </cell>
          <cell r="Y188">
            <v>308.39200000000005</v>
          </cell>
          <cell r="Z188">
            <v>299.32099999999997</v>
          </cell>
          <cell r="AA188">
            <v>287.7</v>
          </cell>
          <cell r="AB188">
            <v>393.39136994286423</v>
          </cell>
          <cell r="AC188">
            <v>458.00000000000006</v>
          </cell>
          <cell r="AD188">
            <v>298.56782359678112</v>
          </cell>
          <cell r="AE188">
            <v>301.45229857856089</v>
          </cell>
          <cell r="AF188">
            <v>312.05871390632353</v>
          </cell>
          <cell r="AG188">
            <v>258.30610000000001</v>
          </cell>
          <cell r="AH188">
            <v>299.92313571428571</v>
          </cell>
          <cell r="AI188">
            <v>417.21607666454531</v>
          </cell>
          <cell r="AJ188">
            <v>917.50273668462182</v>
          </cell>
          <cell r="AK188">
            <v>933.28640753464776</v>
          </cell>
          <cell r="AL188">
            <v>345</v>
          </cell>
          <cell r="AM188">
            <v>460</v>
          </cell>
          <cell r="AN188">
            <v>550</v>
          </cell>
          <cell r="AO188">
            <v>491</v>
          </cell>
          <cell r="AP188">
            <v>451</v>
          </cell>
          <cell r="AQ188">
            <v>463</v>
          </cell>
          <cell r="AR188">
            <v>455</v>
          </cell>
          <cell r="AS188">
            <v>527</v>
          </cell>
          <cell r="AT188">
            <v>420</v>
          </cell>
          <cell r="AU188">
            <v>507</v>
          </cell>
          <cell r="AV188">
            <v>375</v>
          </cell>
          <cell r="AW188">
            <v>339</v>
          </cell>
          <cell r="AX188">
            <v>324</v>
          </cell>
          <cell r="AY188">
            <v>338</v>
          </cell>
          <cell r="AZ188">
            <v>344</v>
          </cell>
          <cell r="BA188">
            <v>365</v>
          </cell>
          <cell r="BB188">
            <v>141</v>
          </cell>
        </row>
        <row r="189">
          <cell r="D189" t="str">
            <v>el</v>
          </cell>
          <cell r="Y189">
            <v>654.8690000000006</v>
          </cell>
          <cell r="Z189">
            <v>675.99900000000071</v>
          </cell>
          <cell r="AA189">
            <v>567.06200000000035</v>
          </cell>
          <cell r="AB189">
            <v>548.95199999999977</v>
          </cell>
          <cell r="AC189">
            <v>647.70600000000013</v>
          </cell>
          <cell r="AD189">
            <v>645.10599999999977</v>
          </cell>
          <cell r="AE189">
            <v>701.1579999999999</v>
          </cell>
          <cell r="AF189">
            <v>537.20757879138637</v>
          </cell>
          <cell r="AG189">
            <v>522.23000000000047</v>
          </cell>
          <cell r="AH189">
            <v>725.03072544228598</v>
          </cell>
          <cell r="AI189">
            <v>1008</v>
          </cell>
          <cell r="AJ189">
            <v>853</v>
          </cell>
          <cell r="AK189">
            <v>958</v>
          </cell>
          <cell r="AL189">
            <v>912</v>
          </cell>
          <cell r="AM189">
            <v>999</v>
          </cell>
          <cell r="AN189">
            <v>2365</v>
          </cell>
          <cell r="AO189">
            <v>1542</v>
          </cell>
          <cell r="AP189">
            <v>1672</v>
          </cell>
          <cell r="AQ189">
            <v>1567</v>
          </cell>
          <cell r="AR189">
            <v>1481</v>
          </cell>
          <cell r="AS189">
            <v>1432</v>
          </cell>
          <cell r="AT189">
            <v>1411</v>
          </cell>
          <cell r="AU189">
            <v>1346</v>
          </cell>
          <cell r="AV189">
            <v>1341</v>
          </cell>
          <cell r="AW189">
            <v>1266</v>
          </cell>
          <cell r="AX189">
            <v>1282</v>
          </cell>
          <cell r="AY189">
            <v>1346</v>
          </cell>
          <cell r="AZ189">
            <v>1331</v>
          </cell>
          <cell r="BA189">
            <v>1399</v>
          </cell>
          <cell r="BB189">
            <v>142</v>
          </cell>
        </row>
        <row r="190">
          <cell r="D190" t="str">
            <v>totalt</v>
          </cell>
          <cell r="Y190">
            <v>1471.9190879000007</v>
          </cell>
          <cell r="Z190">
            <v>1501.3086722000005</v>
          </cell>
          <cell r="AA190">
            <v>1395.0588870000004</v>
          </cell>
          <cell r="AB190">
            <v>1351.2524135867061</v>
          </cell>
          <cell r="AC190">
            <v>1602.6335383000001</v>
          </cell>
          <cell r="AD190">
            <v>1551.790059153552</v>
          </cell>
          <cell r="AE190">
            <v>1690.0141656785609</v>
          </cell>
          <cell r="AF190">
            <v>1531.49104206078</v>
          </cell>
          <cell r="AG190">
            <v>1504.8799981000006</v>
          </cell>
          <cell r="AH190">
            <v>1792.8728825590981</v>
          </cell>
          <cell r="AI190">
            <v>2119.4264866645453</v>
          </cell>
          <cell r="AJ190">
            <v>2404.3761321946217</v>
          </cell>
          <cell r="AK190">
            <v>2524.3906075346476</v>
          </cell>
          <cell r="AL190">
            <v>1769.4339798330002</v>
          </cell>
          <cell r="AM190">
            <v>1972.7454855000001</v>
          </cell>
          <cell r="AN190">
            <v>3495</v>
          </cell>
          <cell r="AO190">
            <v>2601</v>
          </cell>
          <cell r="AP190">
            <v>2557</v>
          </cell>
          <cell r="AQ190">
            <v>2496</v>
          </cell>
          <cell r="AR190">
            <v>2432</v>
          </cell>
          <cell r="AS190">
            <v>2508</v>
          </cell>
          <cell r="AT190">
            <v>2239</v>
          </cell>
          <cell r="AU190">
            <v>2227</v>
          </cell>
          <cell r="AV190">
            <v>2032</v>
          </cell>
          <cell r="AW190">
            <v>1936</v>
          </cell>
          <cell r="AX190">
            <v>1808</v>
          </cell>
          <cell r="AY190">
            <v>1870</v>
          </cell>
          <cell r="AZ190">
            <v>1854</v>
          </cell>
          <cell r="BA190">
            <v>1929</v>
          </cell>
          <cell r="BB190">
            <v>143</v>
          </cell>
        </row>
        <row r="192">
          <cell r="D192" t="str">
            <v>biobränsle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1381.2412532167318</v>
          </cell>
          <cell r="AF192">
            <v>53.454695082239354</v>
          </cell>
          <cell r="AG192">
            <v>33.432000000000002</v>
          </cell>
          <cell r="AH192">
            <v>20.3765</v>
          </cell>
          <cell r="AI192">
            <v>243.06700000000001</v>
          </cell>
          <cell r="AJ192">
            <v>27.842220000000005</v>
          </cell>
          <cell r="AK192">
            <v>23.26</v>
          </cell>
          <cell r="AL192">
            <v>20.7119833</v>
          </cell>
          <cell r="AM192">
            <v>19.817520000000002</v>
          </cell>
          <cell r="AN192">
            <v>89</v>
          </cell>
          <cell r="AO192">
            <v>96</v>
          </cell>
          <cell r="AP192">
            <v>52</v>
          </cell>
          <cell r="AQ192">
            <v>72</v>
          </cell>
          <cell r="AR192">
            <v>123</v>
          </cell>
          <cell r="AS192">
            <v>95</v>
          </cell>
          <cell r="AT192">
            <v>451</v>
          </cell>
          <cell r="AU192">
            <v>114</v>
          </cell>
          <cell r="AV192">
            <v>135</v>
          </cell>
          <cell r="AW192">
            <v>126</v>
          </cell>
          <cell r="AX192">
            <v>179</v>
          </cell>
          <cell r="AY192">
            <v>125</v>
          </cell>
          <cell r="AZ192">
            <v>265</v>
          </cell>
          <cell r="BA192">
            <v>292</v>
          </cell>
          <cell r="BB192">
            <v>145</v>
          </cell>
        </row>
        <row r="193">
          <cell r="D193" t="str">
            <v>kol</v>
          </cell>
          <cell r="Y193">
            <v>246.68160399999999</v>
          </cell>
          <cell r="Z193">
            <v>352.93793600000004</v>
          </cell>
          <cell r="AA193">
            <v>131.47482399999998</v>
          </cell>
          <cell r="AB193">
            <v>55.683276999999997</v>
          </cell>
          <cell r="AC193">
            <v>25.089980499999999</v>
          </cell>
          <cell r="AD193">
            <v>15.799354999999998</v>
          </cell>
          <cell r="AE193">
            <v>11.110163411353078</v>
          </cell>
          <cell r="AF193">
            <v>0</v>
          </cell>
          <cell r="AG193">
            <v>0</v>
          </cell>
          <cell r="AH193">
            <v>0</v>
          </cell>
          <cell r="AI193">
            <v>1.5119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  <cell r="BB193">
            <v>146</v>
          </cell>
        </row>
        <row r="194">
          <cell r="D194" t="str">
            <v>koks</v>
          </cell>
          <cell r="Y194">
            <v>0.1246736</v>
          </cell>
          <cell r="Z194">
            <v>0.31558005</v>
          </cell>
          <cell r="AA194">
            <v>0</v>
          </cell>
          <cell r="AB194">
            <v>3.1168399999999999E-2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147</v>
          </cell>
        </row>
        <row r="195">
          <cell r="D195" t="str">
            <v>gasol</v>
          </cell>
          <cell r="Y195">
            <v>14.302685800000003</v>
          </cell>
          <cell r="Z195">
            <v>14.008334999999999</v>
          </cell>
          <cell r="AA195">
            <v>20.571144</v>
          </cell>
          <cell r="AB195">
            <v>16.016835999999998</v>
          </cell>
          <cell r="AC195">
            <v>16.221523999999999</v>
          </cell>
          <cell r="AD195">
            <v>11.452369547292786</v>
          </cell>
          <cell r="AE195">
            <v>14.276988000000001</v>
          </cell>
          <cell r="AF195">
            <v>23.182430960526315</v>
          </cell>
          <cell r="AG195">
            <v>20.933185899999998</v>
          </cell>
          <cell r="AH195">
            <v>23.264244949999995</v>
          </cell>
          <cell r="AI195">
            <v>39.658299999999997</v>
          </cell>
          <cell r="AJ195">
            <v>25.585999999999999</v>
          </cell>
          <cell r="AK195">
            <v>25.586200000000002</v>
          </cell>
          <cell r="AL195">
            <v>25.877882680000003</v>
          </cell>
          <cell r="AM195">
            <v>26.711992800000004</v>
          </cell>
          <cell r="AN195">
            <v>83</v>
          </cell>
          <cell r="AO195">
            <v>91</v>
          </cell>
          <cell r="AP195">
            <v>49</v>
          </cell>
          <cell r="AQ195">
            <v>252</v>
          </cell>
          <cell r="AR195">
            <v>299</v>
          </cell>
          <cell r="AS195">
            <v>347</v>
          </cell>
          <cell r="AT195">
            <v>252</v>
          </cell>
          <cell r="AU195">
            <v>187</v>
          </cell>
          <cell r="AV195">
            <v>129</v>
          </cell>
          <cell r="AW195">
            <v>133</v>
          </cell>
          <cell r="AX195">
            <v>131</v>
          </cell>
          <cell r="AY195">
            <v>172</v>
          </cell>
          <cell r="AZ195">
            <v>189</v>
          </cell>
          <cell r="BA195">
            <v>190</v>
          </cell>
          <cell r="BB195">
            <v>148</v>
          </cell>
        </row>
        <row r="196">
          <cell r="D196" t="str">
            <v>bensin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15</v>
          </cell>
          <cell r="AO196">
            <v>1</v>
          </cell>
          <cell r="AP196">
            <v>0</v>
          </cell>
          <cell r="AQ196">
            <v>0</v>
          </cell>
          <cell r="AR196">
            <v>0</v>
          </cell>
          <cell r="AS196">
            <v>1</v>
          </cell>
          <cell r="AT196">
            <v>2</v>
          </cell>
          <cell r="AU196">
            <v>2</v>
          </cell>
          <cell r="AV196">
            <v>3</v>
          </cell>
          <cell r="AW196">
            <v>0</v>
          </cell>
          <cell r="AX196">
            <v>0</v>
          </cell>
          <cell r="AY196">
            <v>1</v>
          </cell>
          <cell r="AZ196">
            <v>0</v>
          </cell>
          <cell r="BA196">
            <v>0</v>
          </cell>
          <cell r="BB196">
            <v>149</v>
          </cell>
        </row>
        <row r="197">
          <cell r="D197" t="str">
            <v>lättoljor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150</v>
          </cell>
        </row>
        <row r="198">
          <cell r="D198" t="str">
            <v>diesel</v>
          </cell>
          <cell r="Y198">
            <v>0</v>
          </cell>
          <cell r="Z198">
            <v>4.9427500000000006E-2</v>
          </cell>
          <cell r="AA198">
            <v>2.9656500000000002E-2</v>
          </cell>
          <cell r="AB198">
            <v>0.94900800000000007</v>
          </cell>
          <cell r="AC198">
            <v>3.9542000000000001E-2</v>
          </cell>
          <cell r="AD198">
            <v>0</v>
          </cell>
          <cell r="AE198">
            <v>0</v>
          </cell>
          <cell r="AF198">
            <v>1.5290833902605641</v>
          </cell>
          <cell r="AG198">
            <v>0.58683671522120284</v>
          </cell>
          <cell r="AH198">
            <v>1.2742938779661759</v>
          </cell>
          <cell r="AI198">
            <v>4.9427500000000002</v>
          </cell>
          <cell r="AJ198">
            <v>0</v>
          </cell>
          <cell r="AK198">
            <v>0</v>
          </cell>
          <cell r="AL198">
            <v>1.2383385570000001</v>
          </cell>
          <cell r="AM198">
            <v>8.1997958999999998</v>
          </cell>
          <cell r="AN198">
            <v>5</v>
          </cell>
          <cell r="AO198">
            <v>3</v>
          </cell>
          <cell r="AP198">
            <v>5</v>
          </cell>
          <cell r="AQ198">
            <v>3</v>
          </cell>
          <cell r="AR198">
            <v>2</v>
          </cell>
          <cell r="AS198">
            <v>1</v>
          </cell>
          <cell r="AT198">
            <v>1</v>
          </cell>
          <cell r="AU198">
            <v>1</v>
          </cell>
          <cell r="AV198">
            <v>1</v>
          </cell>
          <cell r="AW198">
            <v>2</v>
          </cell>
          <cell r="AX198">
            <v>8</v>
          </cell>
          <cell r="AY198">
            <v>14</v>
          </cell>
          <cell r="AZ198">
            <v>14</v>
          </cell>
          <cell r="BA198">
            <v>16</v>
          </cell>
          <cell r="BB198">
            <v>151</v>
          </cell>
        </row>
        <row r="199">
          <cell r="D199" t="str">
            <v>eo1</v>
          </cell>
          <cell r="Y199">
            <v>69.742202500000005</v>
          </cell>
          <cell r="Z199">
            <v>92.409654000000018</v>
          </cell>
          <cell r="AA199">
            <v>104.03500199999999</v>
          </cell>
          <cell r="AB199">
            <v>107.6036675</v>
          </cell>
          <cell r="AC199">
            <v>106.16038450000001</v>
          </cell>
          <cell r="AD199">
            <v>109.97618750000001</v>
          </cell>
          <cell r="AE199">
            <v>134.14623500000002</v>
          </cell>
          <cell r="AF199">
            <v>125.71390350000001</v>
          </cell>
          <cell r="AG199">
            <v>117.8035264</v>
          </cell>
          <cell r="AH199">
            <v>190.02389793454546</v>
          </cell>
          <cell r="AI199">
            <v>177.93900000000002</v>
          </cell>
          <cell r="AJ199">
            <v>119.5596</v>
          </cell>
          <cell r="AK199">
            <v>119.5596</v>
          </cell>
          <cell r="AL199">
            <v>156.592588302</v>
          </cell>
          <cell r="AM199">
            <v>129.52289999999999</v>
          </cell>
          <cell r="AN199">
            <v>559</v>
          </cell>
          <cell r="AO199">
            <v>600</v>
          </cell>
          <cell r="AP199">
            <v>514</v>
          </cell>
          <cell r="AQ199">
            <v>446</v>
          </cell>
          <cell r="AR199">
            <v>389</v>
          </cell>
          <cell r="AS199">
            <v>447</v>
          </cell>
          <cell r="AT199">
            <v>339</v>
          </cell>
          <cell r="AU199">
            <v>318</v>
          </cell>
          <cell r="AV199">
            <v>252</v>
          </cell>
          <cell r="AW199">
            <v>230</v>
          </cell>
          <cell r="AX199">
            <v>163</v>
          </cell>
          <cell r="AY199">
            <v>128</v>
          </cell>
          <cell r="AZ199">
            <v>109</v>
          </cell>
          <cell r="BA199">
            <v>111</v>
          </cell>
          <cell r="BB199">
            <v>152</v>
          </cell>
        </row>
        <row r="200">
          <cell r="D200" t="str">
            <v>eo2-6</v>
          </cell>
          <cell r="Y200">
            <v>143.73249509999999</v>
          </cell>
          <cell r="Z200">
            <v>142.64008920000001</v>
          </cell>
          <cell r="AA200">
            <v>90.312764999999985</v>
          </cell>
          <cell r="AB200">
            <v>104.65244990750215</v>
          </cell>
          <cell r="AC200">
            <v>80.881300199999998</v>
          </cell>
          <cell r="AD200">
            <v>136.59400109999999</v>
          </cell>
          <cell r="AE200">
            <v>164.1637302</v>
          </cell>
          <cell r="AF200">
            <v>55.691069099999993</v>
          </cell>
          <cell r="AG200">
            <v>31.122752249999998</v>
          </cell>
          <cell r="AH200">
            <v>61.960653024545458</v>
          </cell>
          <cell r="AI200">
            <v>36.774059999999999</v>
          </cell>
          <cell r="AJ200">
            <v>52.957000000000001</v>
          </cell>
          <cell r="AK200">
            <v>63.548400000000001</v>
          </cell>
          <cell r="AL200">
            <v>47.770074549999997</v>
          </cell>
          <cell r="AM200">
            <v>52.914999999999999</v>
          </cell>
          <cell r="AN200">
            <v>27</v>
          </cell>
          <cell r="AO200">
            <v>14</v>
          </cell>
          <cell r="AP200">
            <v>12</v>
          </cell>
          <cell r="AQ200">
            <v>23</v>
          </cell>
          <cell r="AR200">
            <v>19</v>
          </cell>
          <cell r="AS200">
            <v>30</v>
          </cell>
          <cell r="AT200">
            <v>15</v>
          </cell>
          <cell r="AU200">
            <v>14</v>
          </cell>
          <cell r="AV200">
            <v>72</v>
          </cell>
          <cell r="AW200">
            <v>48</v>
          </cell>
          <cell r="AX200">
            <v>47</v>
          </cell>
          <cell r="AY200">
            <v>13</v>
          </cell>
          <cell r="AZ200">
            <v>14</v>
          </cell>
          <cell r="BA200">
            <v>11</v>
          </cell>
          <cell r="BB200">
            <v>153</v>
          </cell>
        </row>
        <row r="201">
          <cell r="D201" t="str">
            <v>övriga petroleumprodukter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154</v>
          </cell>
        </row>
        <row r="202">
          <cell r="D202" t="str">
            <v>naturgas</v>
          </cell>
          <cell r="Y202">
            <v>18.176400000000001</v>
          </cell>
          <cell r="Z202">
            <v>15.336</v>
          </cell>
          <cell r="AA202">
            <v>14.7636</v>
          </cell>
          <cell r="AB202">
            <v>13.141440000000001</v>
          </cell>
          <cell r="AC202">
            <v>16.621200000000002</v>
          </cell>
          <cell r="AD202">
            <v>18.487439999999999</v>
          </cell>
          <cell r="AE202">
            <v>18.983160000000002</v>
          </cell>
          <cell r="AF202">
            <v>28.886643692307693</v>
          </cell>
          <cell r="AG202">
            <v>91.096812</v>
          </cell>
          <cell r="AH202">
            <v>165.47513563636363</v>
          </cell>
          <cell r="AI202">
            <v>90.396000000000015</v>
          </cell>
          <cell r="AJ202">
            <v>109.89</v>
          </cell>
          <cell r="AK202">
            <v>108.9</v>
          </cell>
          <cell r="AL202">
            <v>157.87650824999997</v>
          </cell>
          <cell r="AM202">
            <v>165.71249999999998</v>
          </cell>
          <cell r="AN202">
            <v>576</v>
          </cell>
          <cell r="AO202">
            <v>535</v>
          </cell>
          <cell r="AP202">
            <v>586</v>
          </cell>
          <cell r="AQ202">
            <v>339</v>
          </cell>
          <cell r="AR202">
            <v>300</v>
          </cell>
          <cell r="AS202">
            <v>407</v>
          </cell>
          <cell r="AT202">
            <v>217</v>
          </cell>
          <cell r="AU202">
            <v>189</v>
          </cell>
          <cell r="AV202">
            <v>181</v>
          </cell>
          <cell r="AW202">
            <v>192</v>
          </cell>
          <cell r="AX202">
            <v>196</v>
          </cell>
          <cell r="AY202">
            <v>219</v>
          </cell>
          <cell r="AZ202">
            <v>199</v>
          </cell>
          <cell r="BA202">
            <v>159</v>
          </cell>
          <cell r="BB202">
            <v>155</v>
          </cell>
        </row>
        <row r="203">
          <cell r="D203" t="str">
            <v>stadsgas</v>
          </cell>
          <cell r="Y203">
            <v>0</v>
          </cell>
          <cell r="Z203">
            <v>3.2564000000000003E-2</v>
          </cell>
          <cell r="AA203">
            <v>4.1867999999999995E-2</v>
          </cell>
          <cell r="AB203">
            <v>8.1033531717230375E-3</v>
          </cell>
          <cell r="AC203">
            <v>0</v>
          </cell>
          <cell r="AD203">
            <v>8.3735999999999991E-2</v>
          </cell>
          <cell r="AE203">
            <v>7.9084000000000002E-2</v>
          </cell>
          <cell r="AF203">
            <v>8.772301084280551E-3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156</v>
          </cell>
        </row>
        <row r="204">
          <cell r="D204" t="str">
            <v>masugnsgas m.m.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157</v>
          </cell>
        </row>
        <row r="205">
          <cell r="D205" t="str">
            <v>övriga bränslen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3.7332300000000003</v>
          </cell>
          <cell r="AH205">
            <v>1.1513700000000002</v>
          </cell>
          <cell r="AI205">
            <v>10.467000000000001</v>
          </cell>
          <cell r="AJ205">
            <v>0</v>
          </cell>
          <cell r="AK205">
            <v>0.44031180000000003</v>
          </cell>
          <cell r="AL205">
            <v>1.0265801000000001</v>
          </cell>
          <cell r="AM205">
            <v>1.24441</v>
          </cell>
          <cell r="AN205">
            <v>2</v>
          </cell>
          <cell r="AO205">
            <v>2</v>
          </cell>
          <cell r="AP205">
            <v>1</v>
          </cell>
          <cell r="AQ205">
            <v>1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26</v>
          </cell>
          <cell r="BA205">
            <v>0</v>
          </cell>
          <cell r="BB205">
            <v>158</v>
          </cell>
        </row>
        <row r="206">
          <cell r="D206" t="str">
            <v>fjärrvärme</v>
          </cell>
          <cell r="Y206">
            <v>81.700999999999993</v>
          </cell>
          <cell r="Z206">
            <v>84.679000000000002</v>
          </cell>
          <cell r="AA206">
            <v>78.8</v>
          </cell>
          <cell r="AB206">
            <v>71.81</v>
          </cell>
          <cell r="AC206">
            <v>80.838743522596687</v>
          </cell>
          <cell r="AD206">
            <v>70.048215004765254</v>
          </cell>
          <cell r="AE206">
            <v>81.028627265370943</v>
          </cell>
          <cell r="AF206">
            <v>70.348115591951199</v>
          </cell>
          <cell r="AG206">
            <v>43.423400000000001</v>
          </cell>
          <cell r="AH206">
            <v>46.237927272727276</v>
          </cell>
          <cell r="AI206">
            <v>78.369156515770257</v>
          </cell>
          <cell r="AJ206">
            <v>86.653206268492212</v>
          </cell>
          <cell r="AK206">
            <v>88.143889218151259</v>
          </cell>
          <cell r="AL206">
            <v>23</v>
          </cell>
          <cell r="AM206">
            <v>47</v>
          </cell>
          <cell r="AN206">
            <v>223</v>
          </cell>
          <cell r="AO206">
            <v>211</v>
          </cell>
          <cell r="AP206">
            <v>205</v>
          </cell>
          <cell r="AQ206">
            <v>254</v>
          </cell>
          <cell r="AR206">
            <v>239</v>
          </cell>
          <cell r="AS206">
            <v>261</v>
          </cell>
          <cell r="AT206">
            <v>218</v>
          </cell>
          <cell r="AU206">
            <v>247</v>
          </cell>
          <cell r="AV206">
            <v>224</v>
          </cell>
          <cell r="AW206">
            <v>161</v>
          </cell>
          <cell r="AX206">
            <v>165</v>
          </cell>
          <cell r="AY206">
            <v>170</v>
          </cell>
          <cell r="AZ206">
            <v>174</v>
          </cell>
          <cell r="BA206">
            <v>154</v>
          </cell>
          <cell r="BB206">
            <v>159</v>
          </cell>
        </row>
        <row r="207">
          <cell r="D207" t="str">
            <v>el</v>
          </cell>
          <cell r="Y207">
            <v>898.04200000000003</v>
          </cell>
          <cell r="Z207">
            <v>918.45399999999995</v>
          </cell>
          <cell r="AA207">
            <v>844.84299999999996</v>
          </cell>
          <cell r="AB207">
            <v>826.25900000000001</v>
          </cell>
          <cell r="AC207">
            <v>922.95</v>
          </cell>
          <cell r="AD207">
            <v>962.02700000000004</v>
          </cell>
          <cell r="AE207">
            <v>1111.1410000000001</v>
          </cell>
          <cell r="AF207">
            <v>1025.653471606558</v>
          </cell>
          <cell r="AG207">
            <v>969.46227719245417</v>
          </cell>
          <cell r="AH207">
            <v>1264.8516029456712</v>
          </cell>
          <cell r="AI207">
            <v>1252</v>
          </cell>
          <cell r="AJ207">
            <v>1353</v>
          </cell>
          <cell r="AK207">
            <v>1311</v>
          </cell>
          <cell r="AL207">
            <v>1300</v>
          </cell>
          <cell r="AM207">
            <v>1262</v>
          </cell>
          <cell r="AN207">
            <v>4423</v>
          </cell>
          <cell r="AO207">
            <v>4673</v>
          </cell>
          <cell r="AP207">
            <v>4684</v>
          </cell>
          <cell r="AQ207">
            <v>4341</v>
          </cell>
          <cell r="AR207">
            <v>3924</v>
          </cell>
          <cell r="AS207">
            <v>4387</v>
          </cell>
          <cell r="AT207">
            <v>4233</v>
          </cell>
          <cell r="AU207">
            <v>4293</v>
          </cell>
          <cell r="AV207">
            <v>4013</v>
          </cell>
          <cell r="AW207">
            <v>3788</v>
          </cell>
          <cell r="AX207">
            <v>3787</v>
          </cell>
          <cell r="AY207">
            <v>3695</v>
          </cell>
          <cell r="AZ207">
            <v>3727</v>
          </cell>
          <cell r="BA207">
            <v>3749</v>
          </cell>
          <cell r="BB207">
            <v>160</v>
          </cell>
        </row>
        <row r="208">
          <cell r="D208" t="str">
            <v>totalt</v>
          </cell>
          <cell r="Y208">
            <v>1472.5030609999999</v>
          </cell>
          <cell r="Z208">
            <v>1620.8625857500001</v>
          </cell>
          <cell r="AA208">
            <v>1284.8718595</v>
          </cell>
          <cell r="AB208">
            <v>1196.1549501606739</v>
          </cell>
          <cell r="AC208">
            <v>1248.8026747225967</v>
          </cell>
          <cell r="AD208">
            <v>1324.468304152058</v>
          </cell>
          <cell r="AE208">
            <v>2916.1702410934558</v>
          </cell>
          <cell r="AF208">
            <v>1384.4681852249273</v>
          </cell>
          <cell r="AG208">
            <v>1311.5940204576755</v>
          </cell>
          <cell r="AH208">
            <v>1774.6156256418192</v>
          </cell>
          <cell r="AI208">
            <v>1935.1251665157702</v>
          </cell>
          <cell r="AJ208">
            <v>1775.4880262684924</v>
          </cell>
          <cell r="AK208">
            <v>1740.4384010181514</v>
          </cell>
          <cell r="AL208">
            <v>1734.093955739</v>
          </cell>
          <cell r="AM208">
            <v>1713.1241186999998</v>
          </cell>
          <cell r="AN208">
            <v>6002</v>
          </cell>
          <cell r="AO208">
            <v>6226</v>
          </cell>
          <cell r="AP208">
            <v>6108</v>
          </cell>
          <cell r="AQ208">
            <v>5731</v>
          </cell>
          <cell r="AR208">
            <v>5295</v>
          </cell>
          <cell r="AS208">
            <v>5976</v>
          </cell>
          <cell r="AT208">
            <v>5728</v>
          </cell>
          <cell r="AU208">
            <v>5365</v>
          </cell>
          <cell r="AV208">
            <v>5010</v>
          </cell>
          <cell r="AW208">
            <v>4680</v>
          </cell>
          <cell r="AX208">
            <v>4676</v>
          </cell>
          <cell r="AY208">
            <v>4537</v>
          </cell>
          <cell r="AZ208">
            <v>4717</v>
          </cell>
          <cell r="BA208">
            <v>4682</v>
          </cell>
          <cell r="BB208">
            <v>161</v>
          </cell>
        </row>
        <row r="210">
          <cell r="D210" t="str">
            <v>biobränsle</v>
          </cell>
          <cell r="Y210">
            <v>23.26</v>
          </cell>
          <cell r="Z210">
            <v>34.89</v>
          </cell>
          <cell r="AA210">
            <v>0</v>
          </cell>
          <cell r="AB210">
            <v>34.89</v>
          </cell>
          <cell r="AC210">
            <v>69.78</v>
          </cell>
          <cell r="AD210">
            <v>139.56</v>
          </cell>
          <cell r="AE210">
            <v>8.6531426397848374</v>
          </cell>
          <cell r="AF210">
            <v>52.65518558810917</v>
          </cell>
          <cell r="AG210">
            <v>39.246224999999995</v>
          </cell>
          <cell r="AH210">
            <v>38.923700000000004</v>
          </cell>
          <cell r="AI210">
            <v>33.727000000000004</v>
          </cell>
          <cell r="AJ210">
            <v>52.071929400000002</v>
          </cell>
          <cell r="AK210">
            <v>46.52</v>
          </cell>
          <cell r="AL210">
            <v>24.009088300000002</v>
          </cell>
          <cell r="AM210">
            <v>22.003959999999999</v>
          </cell>
          <cell r="AN210">
            <v>124</v>
          </cell>
          <cell r="AO210">
            <v>525</v>
          </cell>
          <cell r="AP210">
            <v>438</v>
          </cell>
          <cell r="AQ210">
            <v>441</v>
          </cell>
          <cell r="AR210">
            <v>500</v>
          </cell>
          <cell r="AS210">
            <v>565</v>
          </cell>
          <cell r="AT210">
            <v>1128</v>
          </cell>
          <cell r="AU210">
            <v>1072</v>
          </cell>
          <cell r="AV210">
            <v>1231</v>
          </cell>
          <cell r="AW210">
            <v>1096</v>
          </cell>
          <cell r="AX210">
            <v>1295</v>
          </cell>
          <cell r="AY210">
            <v>998</v>
          </cell>
          <cell r="AZ210">
            <v>1041</v>
          </cell>
          <cell r="BA210">
            <v>911</v>
          </cell>
          <cell r="BB210">
            <v>163</v>
          </cell>
        </row>
        <row r="211">
          <cell r="D211" t="str">
            <v>kol</v>
          </cell>
          <cell r="Y211">
            <v>3056.6989439999998</v>
          </cell>
          <cell r="Z211">
            <v>2470.9435269999999</v>
          </cell>
          <cell r="AA211">
            <v>2043.7410629999999</v>
          </cell>
          <cell r="AB211">
            <v>2089.6801444999996</v>
          </cell>
          <cell r="AC211">
            <v>1963.0887574999999</v>
          </cell>
          <cell r="AD211">
            <v>2354.4516320000002</v>
          </cell>
          <cell r="AE211">
            <v>2419.2212492412068</v>
          </cell>
          <cell r="AF211">
            <v>1927.6724999999999</v>
          </cell>
          <cell r="AG211">
            <v>1844.518</v>
          </cell>
          <cell r="AH211">
            <v>1117.7174319999999</v>
          </cell>
          <cell r="AI211">
            <v>2118.92785</v>
          </cell>
          <cell r="AJ211">
            <v>1858.1251</v>
          </cell>
          <cell r="AK211">
            <v>1746.2445</v>
          </cell>
          <cell r="AL211">
            <v>1666.35948375</v>
          </cell>
          <cell r="AM211">
            <v>1796.9309475</v>
          </cell>
          <cell r="AN211">
            <v>6681</v>
          </cell>
          <cell r="AO211">
            <v>7134</v>
          </cell>
          <cell r="AP211">
            <v>6927</v>
          </cell>
          <cell r="AQ211">
            <v>7672</v>
          </cell>
          <cell r="AR211">
            <v>4841</v>
          </cell>
          <cell r="AS211">
            <v>5688</v>
          </cell>
          <cell r="AT211">
            <v>6775</v>
          </cell>
          <cell r="AU211">
            <v>6872</v>
          </cell>
          <cell r="AV211">
            <v>5525</v>
          </cell>
          <cell r="AW211">
            <v>5885</v>
          </cell>
          <cell r="AX211">
            <v>5847</v>
          </cell>
          <cell r="AY211">
            <v>5397</v>
          </cell>
          <cell r="AZ211">
            <v>6127</v>
          </cell>
          <cell r="BA211">
            <v>5475</v>
          </cell>
          <cell r="BB211">
            <v>164</v>
          </cell>
        </row>
        <row r="212">
          <cell r="D212" t="str">
            <v>koks</v>
          </cell>
          <cell r="Y212">
            <v>467.74417879999999</v>
          </cell>
          <cell r="Z212">
            <v>1277.0316848</v>
          </cell>
          <cell r="AA212">
            <v>941.79216649999989</v>
          </cell>
          <cell r="AB212">
            <v>812.7705747</v>
          </cell>
          <cell r="AC212">
            <v>638.45268997352491</v>
          </cell>
          <cell r="AD212">
            <v>715.07286970057066</v>
          </cell>
          <cell r="AE212">
            <v>225.9709</v>
          </cell>
          <cell r="AF212">
            <v>218.1788</v>
          </cell>
          <cell r="AG212">
            <v>257.13929999999999</v>
          </cell>
          <cell r="AH212">
            <v>280.51560000000001</v>
          </cell>
          <cell r="AI212">
            <v>298.43742999999995</v>
          </cell>
          <cell r="AJ212">
            <v>257.13929999999999</v>
          </cell>
          <cell r="AK212">
            <v>218.1788</v>
          </cell>
          <cell r="AL212">
            <v>212.25680399999999</v>
          </cell>
          <cell r="AM212">
            <v>182.11696119999999</v>
          </cell>
          <cell r="AN212">
            <v>693</v>
          </cell>
          <cell r="AO212">
            <v>741</v>
          </cell>
          <cell r="AP212">
            <v>708</v>
          </cell>
          <cell r="AQ212">
            <v>687</v>
          </cell>
          <cell r="AR212">
            <v>528</v>
          </cell>
          <cell r="AS212">
            <v>580</v>
          </cell>
          <cell r="AT212">
            <v>544</v>
          </cell>
          <cell r="AU212">
            <v>516</v>
          </cell>
          <cell r="AV212">
            <v>514</v>
          </cell>
          <cell r="AW212">
            <v>469</v>
          </cell>
          <cell r="AX212">
            <v>488</v>
          </cell>
          <cell r="AY212">
            <v>528</v>
          </cell>
          <cell r="AZ212">
            <v>598</v>
          </cell>
          <cell r="BA212">
            <v>707</v>
          </cell>
          <cell r="BB212">
            <v>165</v>
          </cell>
        </row>
        <row r="213">
          <cell r="D213" t="str">
            <v>gasol</v>
          </cell>
          <cell r="Y213">
            <v>673.16012890000002</v>
          </cell>
          <cell r="Z213">
            <v>1100.58179</v>
          </cell>
          <cell r="AA213">
            <v>1013.9475939999999</v>
          </cell>
          <cell r="AB213">
            <v>928.89972999999998</v>
          </cell>
          <cell r="AC213">
            <v>921.81240799999989</v>
          </cell>
          <cell r="AD213">
            <v>802.2183949114609</v>
          </cell>
          <cell r="AE213">
            <v>876.56356700000003</v>
          </cell>
          <cell r="AF213">
            <v>867.61585851111113</v>
          </cell>
          <cell r="AG213">
            <v>857.51606930000003</v>
          </cell>
          <cell r="AH213">
            <v>689.62670736666701</v>
          </cell>
          <cell r="AI213">
            <v>512.99929999999995</v>
          </cell>
          <cell r="AJ213">
            <v>486.13399999999996</v>
          </cell>
          <cell r="AK213">
            <v>345.41370000000001</v>
          </cell>
          <cell r="AL213">
            <v>348.59790258999999</v>
          </cell>
          <cell r="AM213">
            <v>276.26699450000001</v>
          </cell>
          <cell r="AN213">
            <v>1012</v>
          </cell>
          <cell r="AO213">
            <v>1106</v>
          </cell>
          <cell r="AP213">
            <v>1207</v>
          </cell>
          <cell r="AQ213">
            <v>984</v>
          </cell>
          <cell r="AR213">
            <v>824</v>
          </cell>
          <cell r="AS213">
            <v>882</v>
          </cell>
          <cell r="AT213">
            <v>806</v>
          </cell>
          <cell r="AU213">
            <v>863</v>
          </cell>
          <cell r="AV213">
            <v>812</v>
          </cell>
          <cell r="AW213">
            <v>788</v>
          </cell>
          <cell r="AX213">
            <v>795</v>
          </cell>
          <cell r="AY213">
            <v>848</v>
          </cell>
          <cell r="AZ213">
            <v>947</v>
          </cell>
          <cell r="BA213">
            <v>923</v>
          </cell>
          <cell r="BB213">
            <v>166</v>
          </cell>
        </row>
        <row r="214">
          <cell r="D214" t="str">
            <v>bensin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2</v>
          </cell>
          <cell r="AQ214">
            <v>1</v>
          </cell>
          <cell r="AR214">
            <v>0</v>
          </cell>
          <cell r="AS214">
            <v>1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167</v>
          </cell>
        </row>
        <row r="215">
          <cell r="D215" t="str">
            <v>lättoljor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168</v>
          </cell>
        </row>
        <row r="216">
          <cell r="D216" t="str">
            <v>diesel</v>
          </cell>
          <cell r="Y216">
            <v>9.3516829999999995</v>
          </cell>
          <cell r="Z216">
            <v>8.2148505000000007</v>
          </cell>
          <cell r="AA216">
            <v>6.0598115000000004</v>
          </cell>
          <cell r="AB216">
            <v>11.427638</v>
          </cell>
          <cell r="AC216">
            <v>11.704432000000001</v>
          </cell>
          <cell r="AD216">
            <v>13.651875500000001</v>
          </cell>
          <cell r="AE216">
            <v>12.841264499999999</v>
          </cell>
          <cell r="AF216">
            <v>10.867586366741484</v>
          </cell>
          <cell r="AG216">
            <v>7.7395306224702729</v>
          </cell>
          <cell r="AH216">
            <v>7.0483615000000004</v>
          </cell>
          <cell r="AI216">
            <v>14.828250000000001</v>
          </cell>
          <cell r="AJ216">
            <v>9.9633000000000003</v>
          </cell>
          <cell r="AK216">
            <v>19.926600000000001</v>
          </cell>
          <cell r="AL216">
            <v>18.506132318999999</v>
          </cell>
          <cell r="AM216">
            <v>3.6764576999999998</v>
          </cell>
          <cell r="AN216">
            <v>29</v>
          </cell>
          <cell r="AO216">
            <v>21</v>
          </cell>
          <cell r="AP216">
            <v>25</v>
          </cell>
          <cell r="AQ216">
            <v>19</v>
          </cell>
          <cell r="AR216">
            <v>17</v>
          </cell>
          <cell r="AS216">
            <v>15</v>
          </cell>
          <cell r="AT216">
            <v>31</v>
          </cell>
          <cell r="AU216">
            <v>25</v>
          </cell>
          <cell r="AV216">
            <v>18</v>
          </cell>
          <cell r="AW216">
            <v>38</v>
          </cell>
          <cell r="AX216">
            <v>68</v>
          </cell>
          <cell r="AY216">
            <v>158</v>
          </cell>
          <cell r="AZ216">
            <v>175</v>
          </cell>
          <cell r="BA216">
            <v>184</v>
          </cell>
          <cell r="BB216">
            <v>169</v>
          </cell>
        </row>
        <row r="217">
          <cell r="D217" t="str">
            <v>eo1</v>
          </cell>
          <cell r="Y217">
            <v>480.31667400000003</v>
          </cell>
          <cell r="Z217">
            <v>394.99492350000003</v>
          </cell>
          <cell r="AA217">
            <v>286.73881299999999</v>
          </cell>
          <cell r="AB217">
            <v>302.98068950000004</v>
          </cell>
          <cell r="AC217">
            <v>301.71534550000001</v>
          </cell>
          <cell r="AD217">
            <v>351.1823875</v>
          </cell>
          <cell r="AE217">
            <v>328.52482149999997</v>
          </cell>
          <cell r="AF217">
            <v>335.88951900000001</v>
          </cell>
          <cell r="AG217">
            <v>288.36398919999999</v>
          </cell>
          <cell r="AH217">
            <v>333.41550786666676</v>
          </cell>
          <cell r="AI217">
            <v>442.87040000000002</v>
          </cell>
          <cell r="AJ217">
            <v>697.43100000000004</v>
          </cell>
          <cell r="AK217">
            <v>318.82560000000001</v>
          </cell>
          <cell r="AL217">
            <v>320.27326749000002</v>
          </cell>
          <cell r="AM217">
            <v>328.78890000000001</v>
          </cell>
          <cell r="AN217">
            <v>819</v>
          </cell>
          <cell r="AO217">
            <v>820</v>
          </cell>
          <cell r="AP217">
            <v>900</v>
          </cell>
          <cell r="AQ217">
            <v>807</v>
          </cell>
          <cell r="AR217">
            <v>776</v>
          </cell>
          <cell r="AS217">
            <v>948</v>
          </cell>
          <cell r="AT217">
            <v>715</v>
          </cell>
          <cell r="AU217">
            <v>680</v>
          </cell>
          <cell r="AV217">
            <v>649</v>
          </cell>
          <cell r="AW217">
            <v>463</v>
          </cell>
          <cell r="AX217">
            <v>375</v>
          </cell>
          <cell r="AY217">
            <v>340</v>
          </cell>
          <cell r="AZ217">
            <v>324</v>
          </cell>
          <cell r="BA217">
            <v>345</v>
          </cell>
          <cell r="BB217">
            <v>170</v>
          </cell>
        </row>
        <row r="218">
          <cell r="D218" t="str">
            <v>eo2-6</v>
          </cell>
          <cell r="Y218">
            <v>1215.9667416</v>
          </cell>
          <cell r="Z218">
            <v>563.1298334999999</v>
          </cell>
          <cell r="AA218">
            <v>468.32846999999992</v>
          </cell>
          <cell r="AB218">
            <v>393.30668719802668</v>
          </cell>
          <cell r="AC218">
            <v>586.12443689999998</v>
          </cell>
          <cell r="AD218">
            <v>559.43079569999998</v>
          </cell>
          <cell r="AE218">
            <v>629.57190719999994</v>
          </cell>
          <cell r="AF218">
            <v>575.25445739999998</v>
          </cell>
          <cell r="AG218">
            <v>621.47836922999988</v>
          </cell>
          <cell r="AH218">
            <v>613.97314411399964</v>
          </cell>
          <cell r="AI218">
            <v>1349.8243199999999</v>
          </cell>
          <cell r="AJ218">
            <v>1239.1938</v>
          </cell>
          <cell r="AK218">
            <v>1133.2798</v>
          </cell>
          <cell r="AL218">
            <v>1041.83443945</v>
          </cell>
          <cell r="AM218">
            <v>920.721</v>
          </cell>
          <cell r="AN218">
            <v>4177</v>
          </cell>
          <cell r="AO218">
            <v>3847</v>
          </cell>
          <cell r="AP218">
            <v>3454</v>
          </cell>
          <cell r="AQ218">
            <v>2715</v>
          </cell>
          <cell r="AR218">
            <v>2736</v>
          </cell>
          <cell r="AS218">
            <v>2556</v>
          </cell>
          <cell r="AT218">
            <v>1493</v>
          </cell>
          <cell r="AU218">
            <v>1464</v>
          </cell>
          <cell r="AV218">
            <v>841</v>
          </cell>
          <cell r="AW218">
            <v>487</v>
          </cell>
          <cell r="AX218">
            <v>791</v>
          </cell>
          <cell r="AY218">
            <v>863</v>
          </cell>
          <cell r="AZ218">
            <v>1010</v>
          </cell>
          <cell r="BA218">
            <v>842</v>
          </cell>
          <cell r="BB218">
            <v>171</v>
          </cell>
        </row>
        <row r="219">
          <cell r="D219" t="str">
            <v>övriga petroleumprodukter</v>
          </cell>
          <cell r="Y219">
            <v>0</v>
          </cell>
          <cell r="Z219">
            <v>0</v>
          </cell>
          <cell r="AA219">
            <v>0</v>
          </cell>
          <cell r="AB219">
            <v>573.27969999999993</v>
          </cell>
          <cell r="AC219">
            <v>474.36880000000002</v>
          </cell>
          <cell r="AD219">
            <v>492.47499519564792</v>
          </cell>
          <cell r="AE219">
            <v>582.07759999999996</v>
          </cell>
          <cell r="AF219">
            <v>430.15335640450439</v>
          </cell>
          <cell r="AG219">
            <v>517.36889999999994</v>
          </cell>
          <cell r="AH219">
            <v>434.99999999999994</v>
          </cell>
          <cell r="AI219">
            <v>607.40740740740739</v>
          </cell>
          <cell r="AJ219">
            <v>427.50761584094909</v>
          </cell>
          <cell r="AK219">
            <v>452.49694749694748</v>
          </cell>
          <cell r="AL219">
            <v>519.30435311412032</v>
          </cell>
          <cell r="AM219">
            <v>678.97658909115353</v>
          </cell>
          <cell r="AN219">
            <v>1722</v>
          </cell>
          <cell r="AO219">
            <v>1853</v>
          </cell>
          <cell r="AP219">
            <v>1737</v>
          </cell>
          <cell r="AQ219">
            <v>1808</v>
          </cell>
          <cell r="AR219">
            <v>2580</v>
          </cell>
          <cell r="AS219">
            <v>1669</v>
          </cell>
          <cell r="AT219">
            <v>1625</v>
          </cell>
          <cell r="AU219">
            <v>1674</v>
          </cell>
          <cell r="AV219">
            <v>1342</v>
          </cell>
          <cell r="AW219">
            <v>1316</v>
          </cell>
          <cell r="AX219">
            <v>1154</v>
          </cell>
          <cell r="AY219">
            <v>1321</v>
          </cell>
          <cell r="AZ219">
            <v>1409</v>
          </cell>
          <cell r="BA219">
            <v>1387</v>
          </cell>
          <cell r="BB219">
            <v>172</v>
          </cell>
        </row>
        <row r="220">
          <cell r="D220" t="str">
            <v>naturgas</v>
          </cell>
          <cell r="Y220">
            <v>308.59920000000005</v>
          </cell>
          <cell r="Z220">
            <v>251.06760000000003</v>
          </cell>
          <cell r="AA220">
            <v>216.50760000000002</v>
          </cell>
          <cell r="AB220">
            <v>180.76284000000001</v>
          </cell>
          <cell r="AC220">
            <v>113.25744</v>
          </cell>
          <cell r="AD220">
            <v>122.01516000000002</v>
          </cell>
          <cell r="AE220">
            <v>236.23488</v>
          </cell>
          <cell r="AF220">
            <v>229.87800000000001</v>
          </cell>
          <cell r="AG220">
            <v>230.90248800000003</v>
          </cell>
          <cell r="AH220">
            <v>178.756632</v>
          </cell>
          <cell r="AI220">
            <v>383.94</v>
          </cell>
          <cell r="AJ220">
            <v>699.30000000000007</v>
          </cell>
          <cell r="AK220">
            <v>514.80000000000007</v>
          </cell>
          <cell r="AL220">
            <v>571.4319375</v>
          </cell>
          <cell r="AM220">
            <v>430.85249999999996</v>
          </cell>
          <cell r="AN220">
            <v>771</v>
          </cell>
          <cell r="AO220">
            <v>932</v>
          </cell>
          <cell r="AP220">
            <v>1121</v>
          </cell>
          <cell r="AQ220">
            <v>2026</v>
          </cell>
          <cell r="AR220">
            <v>1636</v>
          </cell>
          <cell r="AS220">
            <v>1989</v>
          </cell>
          <cell r="AT220">
            <v>3005</v>
          </cell>
          <cell r="AU220">
            <v>2913</v>
          </cell>
          <cell r="AV220">
            <v>1641</v>
          </cell>
          <cell r="AW220">
            <v>1906</v>
          </cell>
          <cell r="AX220">
            <v>1944</v>
          </cell>
          <cell r="AY220">
            <v>1988</v>
          </cell>
          <cell r="AZ220">
            <v>2014</v>
          </cell>
          <cell r="BA220">
            <v>2030</v>
          </cell>
          <cell r="BB220">
            <v>173</v>
          </cell>
        </row>
        <row r="221">
          <cell r="D221" t="str">
            <v>stadsgas</v>
          </cell>
          <cell r="Y221">
            <v>0</v>
          </cell>
          <cell r="Z221">
            <v>0</v>
          </cell>
          <cell r="AA221">
            <v>4.6519999999999999E-3</v>
          </cell>
          <cell r="AB221">
            <v>4.0516765858615187E-3</v>
          </cell>
          <cell r="AC221">
            <v>0</v>
          </cell>
          <cell r="AD221">
            <v>0</v>
          </cell>
          <cell r="AE221">
            <v>0</v>
          </cell>
          <cell r="AF221">
            <v>12.750539626001782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6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174</v>
          </cell>
        </row>
        <row r="222">
          <cell r="D222" t="str">
            <v>masugnsgas m.m.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48.000707714083504</v>
          </cell>
          <cell r="AI222">
            <v>60.475999999999999</v>
          </cell>
          <cell r="AJ222">
            <v>0</v>
          </cell>
          <cell r="AK222">
            <v>0</v>
          </cell>
          <cell r="AL222">
            <v>102.34400000000001</v>
          </cell>
          <cell r="AM222">
            <v>106.99600000000001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1</v>
          </cell>
          <cell r="AU222">
            <v>0</v>
          </cell>
          <cell r="AV222">
            <v>0</v>
          </cell>
          <cell r="AW222">
            <v>2</v>
          </cell>
          <cell r="AX222">
            <v>0</v>
          </cell>
          <cell r="AY222">
            <v>0</v>
          </cell>
          <cell r="AZ222">
            <v>408</v>
          </cell>
          <cell r="BA222">
            <v>369</v>
          </cell>
          <cell r="BB222">
            <v>175</v>
          </cell>
        </row>
        <row r="223">
          <cell r="D223" t="str">
            <v>övriga bränslen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0.54661000000000004</v>
          </cell>
          <cell r="AI223">
            <v>1.163</v>
          </cell>
          <cell r="AJ223">
            <v>2.55629726</v>
          </cell>
          <cell r="AK223">
            <v>1.6038933000000002</v>
          </cell>
          <cell r="AL223">
            <v>1.7740402000000002</v>
          </cell>
          <cell r="AM223">
            <v>1.5002700000000002</v>
          </cell>
          <cell r="AN223">
            <v>2774</v>
          </cell>
          <cell r="AO223">
            <v>322</v>
          </cell>
          <cell r="AP223">
            <v>682</v>
          </cell>
          <cell r="AQ223">
            <v>394</v>
          </cell>
          <cell r="AR223">
            <v>320</v>
          </cell>
          <cell r="AS223">
            <v>1976</v>
          </cell>
          <cell r="AT223">
            <v>1526</v>
          </cell>
          <cell r="AU223">
            <v>1203</v>
          </cell>
          <cell r="AV223">
            <v>1622</v>
          </cell>
          <cell r="AW223">
            <v>1387</v>
          </cell>
          <cell r="AX223">
            <v>1724</v>
          </cell>
          <cell r="AY223">
            <v>2747</v>
          </cell>
          <cell r="AZ223">
            <v>2263</v>
          </cell>
          <cell r="BA223">
            <v>3659</v>
          </cell>
          <cell r="BB223">
            <v>176</v>
          </cell>
        </row>
        <row r="224">
          <cell r="D224" t="str">
            <v>fjärrvärme</v>
          </cell>
          <cell r="Y224">
            <v>30.42</v>
          </cell>
          <cell r="Z224">
            <v>31.585999999999999</v>
          </cell>
          <cell r="AA224">
            <v>26.16</v>
          </cell>
          <cell r="AB224">
            <v>24.9</v>
          </cell>
          <cell r="AC224">
            <v>19.905055898976006</v>
          </cell>
          <cell r="AD224">
            <v>21.074243782413301</v>
          </cell>
          <cell r="AE224">
            <v>23.570362001313036</v>
          </cell>
          <cell r="AF224">
            <v>35.340213384376675</v>
          </cell>
          <cell r="AG224">
            <v>19.859299999999998</v>
          </cell>
          <cell r="AH224">
            <v>30.120233333333335</v>
          </cell>
          <cell r="AI224">
            <v>60.695798423748208</v>
          </cell>
          <cell r="AJ224">
            <v>64.833161344169653</v>
          </cell>
          <cell r="AK224">
            <v>65.948477122431726</v>
          </cell>
          <cell r="AL224">
            <v>63</v>
          </cell>
          <cell r="AM224">
            <v>65</v>
          </cell>
          <cell r="AN224">
            <v>201</v>
          </cell>
          <cell r="AO224">
            <v>231</v>
          </cell>
          <cell r="AP224">
            <v>197</v>
          </cell>
          <cell r="AQ224">
            <v>231</v>
          </cell>
          <cell r="AR224">
            <v>221</v>
          </cell>
          <cell r="AS224">
            <v>239</v>
          </cell>
          <cell r="AT224">
            <v>218</v>
          </cell>
          <cell r="AU224">
            <v>219</v>
          </cell>
          <cell r="AV224">
            <v>208</v>
          </cell>
          <cell r="AW224">
            <v>192</v>
          </cell>
          <cell r="AX224">
            <v>216</v>
          </cell>
          <cell r="AY224">
            <v>235</v>
          </cell>
          <cell r="AZ224">
            <v>197</v>
          </cell>
          <cell r="BA224">
            <v>187</v>
          </cell>
          <cell r="BB224">
            <v>177</v>
          </cell>
        </row>
        <row r="225">
          <cell r="D225" t="str">
            <v>el</v>
          </cell>
          <cell r="Y225">
            <v>1468.9190000000001</v>
          </cell>
          <cell r="Z225">
            <v>1400.018</v>
          </cell>
          <cell r="AA225">
            <v>1135.1659999999999</v>
          </cell>
          <cell r="AB225">
            <v>1130.4580000000001</v>
          </cell>
          <cell r="AC225">
            <v>1200.9849999999999</v>
          </cell>
          <cell r="AD225">
            <v>1287.1949999999999</v>
          </cell>
          <cell r="AE225">
            <v>1234.905</v>
          </cell>
          <cell r="AF225">
            <v>1129.9087994719491</v>
          </cell>
          <cell r="AG225">
            <v>1091.4374502737949</v>
          </cell>
          <cell r="AH225">
            <v>1047.5396734569765</v>
          </cell>
          <cell r="AI225">
            <v>1174</v>
          </cell>
          <cell r="AJ225">
            <v>1441</v>
          </cell>
          <cell r="AK225">
            <v>1178</v>
          </cell>
          <cell r="AL225">
            <v>1133</v>
          </cell>
          <cell r="AM225">
            <v>1045</v>
          </cell>
          <cell r="AN225">
            <v>3788</v>
          </cell>
          <cell r="AO225">
            <v>4046</v>
          </cell>
          <cell r="AP225">
            <v>4113</v>
          </cell>
          <cell r="AQ225">
            <v>4112</v>
          </cell>
          <cell r="AR225">
            <v>3460</v>
          </cell>
          <cell r="AS225">
            <v>3656</v>
          </cell>
          <cell r="AT225">
            <v>3676</v>
          </cell>
          <cell r="AU225">
            <v>3632</v>
          </cell>
          <cell r="AV225">
            <v>3379</v>
          </cell>
          <cell r="AW225">
            <v>3450</v>
          </cell>
          <cell r="AX225">
            <v>3409</v>
          </cell>
          <cell r="AY225">
            <v>3551</v>
          </cell>
          <cell r="AZ225">
            <v>3711</v>
          </cell>
          <cell r="BA225">
            <v>3673</v>
          </cell>
          <cell r="BB225">
            <v>178</v>
          </cell>
        </row>
        <row r="226">
          <cell r="D226" t="str">
            <v>totalt</v>
          </cell>
          <cell r="Y226">
            <v>7734.4365502999999</v>
          </cell>
          <cell r="Z226">
            <v>7532.4582092999999</v>
          </cell>
          <cell r="AA226">
            <v>6138.4461699999993</v>
          </cell>
          <cell r="AB226">
            <v>6483.3600555746125</v>
          </cell>
          <cell r="AC226">
            <v>6301.1943657725005</v>
          </cell>
          <cell r="AD226">
            <v>6858.3273542900915</v>
          </cell>
          <cell r="AE226">
            <v>6578.1346940823041</v>
          </cell>
          <cell r="AF226">
            <v>5826.1648157527934</v>
          </cell>
          <cell r="AG226">
            <v>5775.569621626265</v>
          </cell>
          <cell r="AH226">
            <v>4821.1843093517273</v>
          </cell>
          <cell r="AI226">
            <v>7059.2967558311539</v>
          </cell>
          <cell r="AJ226">
            <v>7235.2555038451192</v>
          </cell>
          <cell r="AK226">
            <v>6041.2383179193794</v>
          </cell>
          <cell r="AL226">
            <v>6022.6914487131207</v>
          </cell>
          <cell r="AM226">
            <v>5858.8305799911541</v>
          </cell>
          <cell r="AN226">
            <v>22791</v>
          </cell>
          <cell r="AO226">
            <v>21578</v>
          </cell>
          <cell r="AP226">
            <v>21517</v>
          </cell>
          <cell r="AQ226">
            <v>21897</v>
          </cell>
          <cell r="AR226">
            <v>18439</v>
          </cell>
          <cell r="AS226">
            <v>20764</v>
          </cell>
          <cell r="AT226">
            <v>21543</v>
          </cell>
          <cell r="AU226">
            <v>21133</v>
          </cell>
          <cell r="AV226">
            <v>17782</v>
          </cell>
          <cell r="AW226">
            <v>17479</v>
          </cell>
          <cell r="AX226">
            <v>18106</v>
          </cell>
          <cell r="AY226">
            <v>18974</v>
          </cell>
          <cell r="AZ226">
            <v>20224</v>
          </cell>
          <cell r="BA226">
            <v>20692</v>
          </cell>
          <cell r="BB226">
            <v>179</v>
          </cell>
        </row>
        <row r="228">
          <cell r="D228" t="str">
            <v>biobränsle</v>
          </cell>
          <cell r="H228">
            <v>0</v>
          </cell>
          <cell r="I228">
            <v>0</v>
          </cell>
          <cell r="J228">
            <v>0</v>
          </cell>
          <cell r="K228">
            <v>168</v>
          </cell>
          <cell r="L228">
            <v>84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Y228">
            <v>0</v>
          </cell>
          <cell r="Z228">
            <v>23.26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0.14976593030396834</v>
          </cell>
          <cell r="AF228">
            <v>7.0890398107368737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4.5766027100000002E-2</v>
          </cell>
          <cell r="AL228">
            <v>0</v>
          </cell>
          <cell r="AM228">
            <v>4.5766027100000002E-2</v>
          </cell>
          <cell r="AN228">
            <v>1</v>
          </cell>
          <cell r="AO228">
            <v>0</v>
          </cell>
          <cell r="AP228">
            <v>1</v>
          </cell>
          <cell r="AQ228">
            <v>3</v>
          </cell>
          <cell r="AR228">
            <v>2</v>
          </cell>
          <cell r="AS228">
            <v>3</v>
          </cell>
          <cell r="AT228">
            <v>1</v>
          </cell>
          <cell r="AU228">
            <v>2</v>
          </cell>
          <cell r="AV228">
            <v>1</v>
          </cell>
          <cell r="AW228">
            <v>6</v>
          </cell>
          <cell r="AX228">
            <v>8</v>
          </cell>
          <cell r="AY228">
            <v>52</v>
          </cell>
          <cell r="AZ228">
            <v>63</v>
          </cell>
          <cell r="BA228">
            <v>69</v>
          </cell>
          <cell r="BB228">
            <v>181</v>
          </cell>
        </row>
        <row r="229">
          <cell r="D229" t="str">
            <v>kol</v>
          </cell>
          <cell r="H229">
            <v>2259</v>
          </cell>
          <cell r="I229">
            <v>2667</v>
          </cell>
          <cell r="J229">
            <v>2286</v>
          </cell>
          <cell r="K229">
            <v>3319</v>
          </cell>
          <cell r="L229">
            <v>2640</v>
          </cell>
          <cell r="M229">
            <v>2749</v>
          </cell>
          <cell r="N229">
            <v>2449</v>
          </cell>
          <cell r="O229">
            <v>2150</v>
          </cell>
          <cell r="P229">
            <v>2340</v>
          </cell>
          <cell r="Q229">
            <v>2476</v>
          </cell>
          <cell r="Y229">
            <v>1739.667735</v>
          </cell>
          <cell r="Z229">
            <v>1155.0991594999998</v>
          </cell>
          <cell r="AA229">
            <v>1223.6184675</v>
          </cell>
          <cell r="AB229">
            <v>1146.5040079999999</v>
          </cell>
          <cell r="AC229">
            <v>1260.3878755000001</v>
          </cell>
          <cell r="AD229">
            <v>1332.4903864999999</v>
          </cell>
          <cell r="AE229">
            <v>1068.4189646013244</v>
          </cell>
          <cell r="AF229">
            <v>1685.7684999999999</v>
          </cell>
          <cell r="AG229">
            <v>2154.4575</v>
          </cell>
          <cell r="AH229">
            <v>2461.2144505000001</v>
          </cell>
          <cell r="AI229">
            <v>2652.6285499999999</v>
          </cell>
          <cell r="AJ229">
            <v>3688.2800499999998</v>
          </cell>
          <cell r="AK229">
            <v>3870.4639999999999</v>
          </cell>
          <cell r="AL229">
            <v>3723.3561300000001</v>
          </cell>
          <cell r="AM229">
            <v>4182.5881954999995</v>
          </cell>
          <cell r="AN229">
            <v>14215</v>
          </cell>
          <cell r="AO229">
            <v>14433</v>
          </cell>
          <cell r="AP229">
            <v>14707</v>
          </cell>
          <cell r="AQ229">
            <v>13627</v>
          </cell>
          <cell r="AR229">
            <v>6273</v>
          </cell>
          <cell r="AS229">
            <v>11623</v>
          </cell>
          <cell r="AT229">
            <v>14080</v>
          </cell>
          <cell r="AU229">
            <v>11285</v>
          </cell>
          <cell r="AV229">
            <v>13710</v>
          </cell>
          <cell r="AW229">
            <v>12211</v>
          </cell>
          <cell r="AX229">
            <v>9455</v>
          </cell>
          <cell r="AY229">
            <v>12763</v>
          </cell>
          <cell r="AZ229">
            <v>12031</v>
          </cell>
          <cell r="BA229">
            <v>11465</v>
          </cell>
          <cell r="BB229">
            <v>182</v>
          </cell>
        </row>
        <row r="230">
          <cell r="D230" t="str">
            <v>koks</v>
          </cell>
          <cell r="H230">
            <v>29342</v>
          </cell>
          <cell r="I230">
            <v>34280</v>
          </cell>
          <cell r="J230">
            <v>39076</v>
          </cell>
          <cell r="K230">
            <v>31841</v>
          </cell>
          <cell r="L230">
            <v>24658</v>
          </cell>
          <cell r="M230">
            <v>26621</v>
          </cell>
          <cell r="N230">
            <v>29286</v>
          </cell>
          <cell r="O230">
            <v>25050</v>
          </cell>
          <cell r="P230">
            <v>21067</v>
          </cell>
          <cell r="Q230">
            <v>19861</v>
          </cell>
          <cell r="Y230">
            <v>5714.8586057000002</v>
          </cell>
          <cell r="Z230">
            <v>4243.733502</v>
          </cell>
          <cell r="AA230">
            <v>4598.5078149999999</v>
          </cell>
          <cell r="AB230">
            <v>4752.1446506999991</v>
          </cell>
          <cell r="AC230">
            <v>5297.5065135968625</v>
          </cell>
          <cell r="AD230">
            <v>5642.6168443699817</v>
          </cell>
          <cell r="AE230">
            <v>7332.3660999999993</v>
          </cell>
          <cell r="AF230">
            <v>6880.4242999999997</v>
          </cell>
          <cell r="AG230">
            <v>6475.2350999999999</v>
          </cell>
          <cell r="AH230">
            <v>6311.6009999999997</v>
          </cell>
          <cell r="AI230">
            <v>5919.6583700000001</v>
          </cell>
          <cell r="AJ230">
            <v>6545.3639999999996</v>
          </cell>
          <cell r="AK230">
            <v>7145.3557000000001</v>
          </cell>
          <cell r="AL230">
            <v>7332.3660999999993</v>
          </cell>
          <cell r="AM230">
            <v>6810.8096785999996</v>
          </cell>
          <cell r="AN230">
            <v>20294</v>
          </cell>
          <cell r="AO230">
            <v>20072</v>
          </cell>
          <cell r="AP230">
            <v>21753</v>
          </cell>
          <cell r="AQ230">
            <v>19706</v>
          </cell>
          <cell r="AR230">
            <v>12588</v>
          </cell>
          <cell r="AS230">
            <v>22602</v>
          </cell>
          <cell r="AT230">
            <v>22320</v>
          </cell>
          <cell r="AU230">
            <v>18230</v>
          </cell>
          <cell r="AV230">
            <v>17218</v>
          </cell>
          <cell r="AW230">
            <v>19085</v>
          </cell>
          <cell r="AX230">
            <v>19742</v>
          </cell>
          <cell r="AY230">
            <v>15608</v>
          </cell>
          <cell r="AZ230">
            <v>18268</v>
          </cell>
          <cell r="BA230">
            <v>16861</v>
          </cell>
          <cell r="BB230">
            <v>183</v>
          </cell>
        </row>
        <row r="231">
          <cell r="D231" t="str">
            <v>gasol</v>
          </cell>
          <cell r="H231">
            <v>3362</v>
          </cell>
          <cell r="I231">
            <v>3316</v>
          </cell>
          <cell r="J231">
            <v>3362</v>
          </cell>
          <cell r="K231">
            <v>2718</v>
          </cell>
          <cell r="L231">
            <v>2809</v>
          </cell>
          <cell r="M231">
            <v>2855</v>
          </cell>
          <cell r="N231">
            <v>3178</v>
          </cell>
          <cell r="O231">
            <v>3362</v>
          </cell>
          <cell r="P231">
            <v>2855</v>
          </cell>
          <cell r="Q231">
            <v>3086</v>
          </cell>
          <cell r="Y231">
            <v>1611.6619449</v>
          </cell>
          <cell r="Z231">
            <v>1515.433194</v>
          </cell>
          <cell r="AA231">
            <v>1544.5628549999999</v>
          </cell>
          <cell r="AB231">
            <v>1649.7596939999999</v>
          </cell>
          <cell r="AC231">
            <v>1919.6280289999997</v>
          </cell>
          <cell r="AD231">
            <v>2530.5922844300921</v>
          </cell>
          <cell r="AE231">
            <v>1933.2014019999999</v>
          </cell>
          <cell r="AF231">
            <v>2170.5607136714284</v>
          </cell>
          <cell r="AG231">
            <v>1870.8099409999998</v>
          </cell>
          <cell r="AH231">
            <v>2003.1381743999996</v>
          </cell>
          <cell r="AI231">
            <v>2026.4112</v>
          </cell>
          <cell r="AJ231">
            <v>2021.2939999999999</v>
          </cell>
          <cell r="AK231">
            <v>1509.5858000000001</v>
          </cell>
          <cell r="AL231">
            <v>2456.1562241700003</v>
          </cell>
          <cell r="AM231">
            <v>2416.8212796000003</v>
          </cell>
          <cell r="AN231">
            <v>8029</v>
          </cell>
          <cell r="AO231">
            <v>8324</v>
          </cell>
          <cell r="AP231">
            <v>7483</v>
          </cell>
          <cell r="AQ231">
            <v>7636</v>
          </cell>
          <cell r="AR231">
            <v>5135</v>
          </cell>
          <cell r="AS231">
            <v>6884</v>
          </cell>
          <cell r="AT231">
            <v>7084</v>
          </cell>
          <cell r="AU231">
            <v>6062</v>
          </cell>
          <cell r="AV231">
            <v>6035</v>
          </cell>
          <cell r="AW231">
            <v>6211</v>
          </cell>
          <cell r="AX231">
            <v>6206</v>
          </cell>
          <cell r="AY231">
            <v>6268</v>
          </cell>
          <cell r="AZ231">
            <v>6733</v>
          </cell>
          <cell r="BA231">
            <v>7206</v>
          </cell>
          <cell r="BB231">
            <v>184</v>
          </cell>
        </row>
        <row r="232">
          <cell r="D232" t="str">
            <v>bensin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1</v>
          </cell>
          <cell r="AQ232">
            <v>0</v>
          </cell>
          <cell r="AR232">
            <v>0</v>
          </cell>
          <cell r="AS232">
            <v>2</v>
          </cell>
          <cell r="AT232">
            <v>1</v>
          </cell>
          <cell r="AU232">
            <v>1</v>
          </cell>
          <cell r="AV232">
            <v>0</v>
          </cell>
          <cell r="AW232">
            <v>1</v>
          </cell>
          <cell r="AX232">
            <v>1</v>
          </cell>
          <cell r="AY232">
            <v>3</v>
          </cell>
          <cell r="AZ232">
            <v>3</v>
          </cell>
          <cell r="BA232">
            <v>2</v>
          </cell>
          <cell r="BB232">
            <v>185</v>
          </cell>
        </row>
        <row r="233">
          <cell r="D233" t="str">
            <v>lättoljor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5.2467600000000001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186</v>
          </cell>
        </row>
        <row r="234">
          <cell r="D234" t="str">
            <v>diesel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Y234">
            <v>6.8209949999999999</v>
          </cell>
          <cell r="Z234">
            <v>4.0728260000000001</v>
          </cell>
          <cell r="AA234">
            <v>4.0728260000000001</v>
          </cell>
          <cell r="AB234">
            <v>6.5046590000000002</v>
          </cell>
          <cell r="AC234">
            <v>5.0416050000000006</v>
          </cell>
          <cell r="AD234">
            <v>4.5374445000000003</v>
          </cell>
          <cell r="AE234">
            <v>0.35587799999999997</v>
          </cell>
          <cell r="AF234">
            <v>0</v>
          </cell>
          <cell r="AG234">
            <v>9.1535107836382199</v>
          </cell>
          <cell r="AH234">
            <v>7.3506262014424504</v>
          </cell>
          <cell r="AI234">
            <v>10.87405</v>
          </cell>
          <cell r="AJ234">
            <v>0</v>
          </cell>
          <cell r="AK234">
            <v>0</v>
          </cell>
          <cell r="AL234">
            <v>0.21819627</v>
          </cell>
          <cell r="AM234">
            <v>0.1394862</v>
          </cell>
          <cell r="AN234">
            <v>20</v>
          </cell>
          <cell r="AO234">
            <v>2</v>
          </cell>
          <cell r="AP234">
            <v>2</v>
          </cell>
          <cell r="AQ234">
            <v>34</v>
          </cell>
          <cell r="AR234">
            <v>24</v>
          </cell>
          <cell r="AS234">
            <v>65</v>
          </cell>
          <cell r="AT234">
            <v>7</v>
          </cell>
          <cell r="AU234">
            <v>3</v>
          </cell>
          <cell r="AV234">
            <v>5</v>
          </cell>
          <cell r="AW234">
            <v>31</v>
          </cell>
          <cell r="AX234">
            <v>29</v>
          </cell>
          <cell r="AY234">
            <v>159</v>
          </cell>
          <cell r="AZ234">
            <v>172</v>
          </cell>
          <cell r="BA234">
            <v>163</v>
          </cell>
          <cell r="BB234">
            <v>187</v>
          </cell>
        </row>
        <row r="235">
          <cell r="D235" t="str">
            <v>eo1</v>
          </cell>
          <cell r="H235">
            <v>4520</v>
          </cell>
          <cell r="I235">
            <v>4698</v>
          </cell>
          <cell r="J235">
            <v>4769</v>
          </cell>
          <cell r="K235">
            <v>4911</v>
          </cell>
          <cell r="L235">
            <v>4555</v>
          </cell>
          <cell r="M235">
            <v>4306</v>
          </cell>
          <cell r="N235">
            <v>4021</v>
          </cell>
          <cell r="O235">
            <v>3808</v>
          </cell>
          <cell r="P235">
            <v>3061</v>
          </cell>
          <cell r="Q235">
            <v>2562</v>
          </cell>
          <cell r="Y235">
            <v>379.26709299999999</v>
          </cell>
          <cell r="Z235">
            <v>226.51634700000002</v>
          </cell>
          <cell r="AA235">
            <v>385.97934750000002</v>
          </cell>
          <cell r="AB235">
            <v>417.17798550000003</v>
          </cell>
          <cell r="AC235">
            <v>412.41317450000003</v>
          </cell>
          <cell r="AD235">
            <v>392.54331950000005</v>
          </cell>
          <cell r="AE235">
            <v>371.74422749999997</v>
          </cell>
          <cell r="AF235">
            <v>229.50721287063493</v>
          </cell>
          <cell r="AG235">
            <v>187.54276325000001</v>
          </cell>
          <cell r="AH235">
            <v>165.77917596666666</v>
          </cell>
          <cell r="AI235">
            <v>211.5497</v>
          </cell>
          <cell r="AJ235">
            <v>219.1926</v>
          </cell>
          <cell r="AK235">
            <v>209.22929999999999</v>
          </cell>
          <cell r="AL235">
            <v>181.91292038999998</v>
          </cell>
          <cell r="AM235">
            <v>169.37610000000001</v>
          </cell>
          <cell r="AN235">
            <v>591</v>
          </cell>
          <cell r="AO235">
            <v>558</v>
          </cell>
          <cell r="AP235">
            <v>564</v>
          </cell>
          <cell r="AQ235">
            <v>523</v>
          </cell>
          <cell r="AR235">
            <v>432</v>
          </cell>
          <cell r="AS235">
            <v>556</v>
          </cell>
          <cell r="AT235">
            <v>507</v>
          </cell>
          <cell r="AU235">
            <v>450</v>
          </cell>
          <cell r="AV235">
            <v>404</v>
          </cell>
          <cell r="AW235">
            <v>354</v>
          </cell>
          <cell r="AX235">
            <v>373</v>
          </cell>
          <cell r="AY235">
            <v>687</v>
          </cell>
          <cell r="AZ235">
            <v>610</v>
          </cell>
          <cell r="BA235">
            <v>606</v>
          </cell>
          <cell r="BB235">
            <v>188</v>
          </cell>
        </row>
        <row r="236">
          <cell r="D236" t="str">
            <v>eo2-6</v>
          </cell>
          <cell r="H236">
            <v>33914</v>
          </cell>
          <cell r="I236">
            <v>33291</v>
          </cell>
          <cell r="J236">
            <v>32357</v>
          </cell>
          <cell r="K236">
            <v>31539</v>
          </cell>
          <cell r="L236">
            <v>28541</v>
          </cell>
          <cell r="M236">
            <v>25660</v>
          </cell>
          <cell r="N236">
            <v>25815</v>
          </cell>
          <cell r="O236">
            <v>21727</v>
          </cell>
          <cell r="P236">
            <v>17288</v>
          </cell>
          <cell r="Q236">
            <v>14056</v>
          </cell>
          <cell r="Y236">
            <v>1302.1262009999998</v>
          </cell>
          <cell r="Z236">
            <v>1313.3206574999999</v>
          </cell>
          <cell r="AA236">
            <v>1057.362384</v>
          </cell>
          <cell r="AB236">
            <v>1221.1345399360309</v>
          </cell>
          <cell r="AC236">
            <v>1283.2524554999998</v>
          </cell>
          <cell r="AD236">
            <v>1367.2595507999999</v>
          </cell>
          <cell r="AE236">
            <v>1361.0187764999998</v>
          </cell>
          <cell r="AF236">
            <v>1271.1386474999999</v>
          </cell>
          <cell r="AG236">
            <v>1222.27457448</v>
          </cell>
          <cell r="AH236">
            <v>1209.6057906333333</v>
          </cell>
          <cell r="AI236">
            <v>1317.3766199999998</v>
          </cell>
          <cell r="AJ236">
            <v>1345.1078</v>
          </cell>
          <cell r="AK236">
            <v>1408.6562000000001</v>
          </cell>
          <cell r="AL236">
            <v>1407.0881642000002</v>
          </cell>
          <cell r="AM236">
            <v>1396.9560000000001</v>
          </cell>
          <cell r="AN236">
            <v>4639</v>
          </cell>
          <cell r="AO236">
            <v>4999</v>
          </cell>
          <cell r="AP236">
            <v>4768</v>
          </cell>
          <cell r="AQ236">
            <v>4348</v>
          </cell>
          <cell r="AR236">
            <v>3893</v>
          </cell>
          <cell r="AS236">
            <v>4515</v>
          </cell>
          <cell r="AT236">
            <v>3897</v>
          </cell>
          <cell r="AU236">
            <v>3681</v>
          </cell>
          <cell r="AV236">
            <v>3656</v>
          </cell>
          <cell r="AW236">
            <v>2934</v>
          </cell>
          <cell r="AX236">
            <v>1251</v>
          </cell>
          <cell r="AY236">
            <v>1012</v>
          </cell>
          <cell r="AZ236">
            <v>1129</v>
          </cell>
          <cell r="BA236">
            <v>1341</v>
          </cell>
          <cell r="BB236">
            <v>189</v>
          </cell>
        </row>
        <row r="237">
          <cell r="D237" t="str">
            <v>övriga petroleumprodukter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87.620099999999994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292.02279202279203</v>
          </cell>
          <cell r="AJ237">
            <v>242.77016193682857</v>
          </cell>
          <cell r="AK237">
            <v>154.04151404151403</v>
          </cell>
          <cell r="AL237">
            <v>21.249406007249927</v>
          </cell>
          <cell r="AM237">
            <v>24.078966464402036</v>
          </cell>
          <cell r="AN237">
            <v>87</v>
          </cell>
          <cell r="AO237">
            <v>1673</v>
          </cell>
          <cell r="AP237">
            <v>1591</v>
          </cell>
          <cell r="AQ237">
            <v>1736</v>
          </cell>
          <cell r="AR237">
            <v>368</v>
          </cell>
          <cell r="AS237">
            <v>1270</v>
          </cell>
          <cell r="AT237">
            <v>650</v>
          </cell>
          <cell r="AU237">
            <v>809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70</v>
          </cell>
          <cell r="BB237">
            <v>190</v>
          </cell>
        </row>
        <row r="238">
          <cell r="D238" t="str">
            <v>naturgas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Y238">
            <v>119.16720000000002</v>
          </cell>
          <cell r="Z238">
            <v>125.6688</v>
          </cell>
          <cell r="AA238">
            <v>126.25200000000001</v>
          </cell>
          <cell r="AB238">
            <v>142.79652000000002</v>
          </cell>
          <cell r="AC238">
            <v>150.01848000000001</v>
          </cell>
          <cell r="AD238">
            <v>187.77096000000003</v>
          </cell>
          <cell r="AE238">
            <v>206.70552000000001</v>
          </cell>
          <cell r="AF238">
            <v>206.13204000000002</v>
          </cell>
          <cell r="AG238">
            <v>212.33340000000001</v>
          </cell>
          <cell r="AH238">
            <v>209.65067999999999</v>
          </cell>
          <cell r="AI238">
            <v>265.35600000000005</v>
          </cell>
          <cell r="AJ238">
            <v>239.76</v>
          </cell>
          <cell r="AK238">
            <v>267.3</v>
          </cell>
          <cell r="AL238">
            <v>260.388580725</v>
          </cell>
          <cell r="AM238">
            <v>309.33</v>
          </cell>
          <cell r="AN238">
            <v>1181</v>
          </cell>
          <cell r="AO238">
            <v>1316</v>
          </cell>
          <cell r="AP238">
            <v>1396</v>
          </cell>
          <cell r="AQ238">
            <v>1308</v>
          </cell>
          <cell r="AR238">
            <v>936</v>
          </cell>
          <cell r="AS238">
            <v>1182</v>
          </cell>
          <cell r="AT238">
            <v>1221</v>
          </cell>
          <cell r="AU238">
            <v>1260</v>
          </cell>
          <cell r="AV238">
            <v>1514</v>
          </cell>
          <cell r="AW238">
            <v>1588</v>
          </cell>
          <cell r="AX238">
            <v>3372</v>
          </cell>
          <cell r="AY238">
            <v>3270</v>
          </cell>
          <cell r="AZ238">
            <v>3559</v>
          </cell>
          <cell r="BA238">
            <v>2928</v>
          </cell>
          <cell r="BB238">
            <v>191</v>
          </cell>
        </row>
        <row r="239">
          <cell r="D239" t="str">
            <v>stadsgas</v>
          </cell>
          <cell r="H239">
            <v>2445</v>
          </cell>
          <cell r="I239">
            <v>2294</v>
          </cell>
          <cell r="J239">
            <v>3014</v>
          </cell>
          <cell r="K239">
            <v>4070</v>
          </cell>
          <cell r="L239">
            <v>3467</v>
          </cell>
          <cell r="M239">
            <v>3684</v>
          </cell>
          <cell r="N239">
            <v>3885</v>
          </cell>
          <cell r="O239">
            <v>4120</v>
          </cell>
          <cell r="P239">
            <v>4070</v>
          </cell>
          <cell r="Q239">
            <v>3400</v>
          </cell>
          <cell r="Y239">
            <v>0</v>
          </cell>
          <cell r="Z239">
            <v>14.444460000000001</v>
          </cell>
          <cell r="AA239">
            <v>5.9685160000000002</v>
          </cell>
          <cell r="AB239">
            <v>6.7946616344897661</v>
          </cell>
          <cell r="AC239">
            <v>9.0892357006077766</v>
          </cell>
          <cell r="AD239">
            <v>9.8529359999999997</v>
          </cell>
          <cell r="AE239">
            <v>12.541792000000001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192</v>
          </cell>
        </row>
        <row r="240">
          <cell r="D240" t="str">
            <v>masugnsgas m.m.</v>
          </cell>
          <cell r="H240">
            <v>10583</v>
          </cell>
          <cell r="I240">
            <v>12445</v>
          </cell>
          <cell r="J240">
            <v>13450</v>
          </cell>
          <cell r="K240">
            <v>12134</v>
          </cell>
          <cell r="L240">
            <v>8133</v>
          </cell>
          <cell r="M240">
            <v>8254</v>
          </cell>
          <cell r="N240">
            <v>10859</v>
          </cell>
          <cell r="O240">
            <v>8502</v>
          </cell>
          <cell r="P240">
            <v>4561</v>
          </cell>
          <cell r="Q240">
            <v>5558</v>
          </cell>
          <cell r="Y240">
            <v>2601.1111111111109</v>
          </cell>
          <cell r="Z240">
            <v>2556.666666666667</v>
          </cell>
          <cell r="AA240">
            <v>2636.3888888888887</v>
          </cell>
          <cell r="AB240">
            <v>2688.0555555555557</v>
          </cell>
          <cell r="AC240">
            <v>2725.5555555555557</v>
          </cell>
          <cell r="AD240">
            <v>2518.6111111111113</v>
          </cell>
          <cell r="AE240">
            <v>2661.9444444444443</v>
          </cell>
          <cell r="AF240">
            <v>2613.8888888888887</v>
          </cell>
          <cell r="AG240">
            <v>2511.666666666667</v>
          </cell>
          <cell r="AH240">
            <v>2686.165958952583</v>
          </cell>
          <cell r="AI240">
            <v>2328.9684444444438</v>
          </cell>
          <cell r="AJ240">
            <v>2573.9684444444442</v>
          </cell>
          <cell r="AK240">
            <v>2389.4444444444443</v>
          </cell>
          <cell r="AL240">
            <v>2514.8782222222217</v>
          </cell>
          <cell r="AM240">
            <v>2514.6706666666669</v>
          </cell>
          <cell r="AN240">
            <v>8645</v>
          </cell>
          <cell r="AO240">
            <v>9127</v>
          </cell>
          <cell r="AP240">
            <v>12130</v>
          </cell>
          <cell r="AQ240">
            <v>9957</v>
          </cell>
          <cell r="AR240">
            <v>6445</v>
          </cell>
          <cell r="AS240">
            <v>9020</v>
          </cell>
          <cell r="AT240">
            <v>6790</v>
          </cell>
          <cell r="AU240">
            <v>7659</v>
          </cell>
          <cell r="AV240">
            <v>7428</v>
          </cell>
          <cell r="AW240">
            <v>8327</v>
          </cell>
          <cell r="AX240">
            <v>8335</v>
          </cell>
          <cell r="AY240">
            <v>7569</v>
          </cell>
          <cell r="AZ240">
            <v>6300</v>
          </cell>
          <cell r="BA240">
            <v>5947</v>
          </cell>
          <cell r="BB240">
            <v>193</v>
          </cell>
        </row>
        <row r="241">
          <cell r="D241" t="str">
            <v>övriga bränslen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0.194221</v>
          </cell>
          <cell r="AH241">
            <v>0.20934</v>
          </cell>
          <cell r="AI241">
            <v>0</v>
          </cell>
          <cell r="AJ241">
            <v>1.6817677800000002</v>
          </cell>
          <cell r="AK241">
            <v>1.4540989000000002</v>
          </cell>
          <cell r="AL241">
            <v>1.1391585</v>
          </cell>
          <cell r="AM241">
            <v>0.93040000000000012</v>
          </cell>
          <cell r="AN241">
            <v>12</v>
          </cell>
          <cell r="AO241">
            <v>12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106</v>
          </cell>
          <cell r="AX241">
            <v>17</v>
          </cell>
          <cell r="AY241">
            <v>33</v>
          </cell>
          <cell r="AZ241">
            <v>2</v>
          </cell>
          <cell r="BA241">
            <v>0</v>
          </cell>
          <cell r="BB241">
            <v>194</v>
          </cell>
        </row>
        <row r="242">
          <cell r="D242" t="str">
            <v>fjärrvärme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Y242">
            <v>165.35599999999999</v>
          </cell>
          <cell r="Z242">
            <v>132.96299999999999</v>
          </cell>
          <cell r="AA242">
            <v>173.9</v>
          </cell>
          <cell r="AB242">
            <v>189.1</v>
          </cell>
          <cell r="AC242">
            <v>181.1</v>
          </cell>
          <cell r="AD242">
            <v>204.40010178003774</v>
          </cell>
          <cell r="AE242">
            <v>257.83345802097807</v>
          </cell>
          <cell r="AF242">
            <v>224.68247977798748</v>
          </cell>
          <cell r="AG242">
            <v>204.17239999999998</v>
          </cell>
          <cell r="AH242">
            <v>136.25579999999999</v>
          </cell>
          <cell r="AI242">
            <v>224.23385120328132</v>
          </cell>
          <cell r="AJ242">
            <v>351.04712339387953</v>
          </cell>
          <cell r="AK242">
            <v>357.08613780436406</v>
          </cell>
          <cell r="AL242">
            <v>209</v>
          </cell>
          <cell r="AM242">
            <v>307</v>
          </cell>
          <cell r="AN242">
            <v>865</v>
          </cell>
          <cell r="AO242">
            <v>751</v>
          </cell>
          <cell r="AP242">
            <v>829</v>
          </cell>
          <cell r="AQ242">
            <v>721</v>
          </cell>
          <cell r="AR242">
            <v>744</v>
          </cell>
          <cell r="AS242">
            <v>881</v>
          </cell>
          <cell r="AT242">
            <v>782</v>
          </cell>
          <cell r="AU242">
            <v>867</v>
          </cell>
          <cell r="AV242">
            <v>940</v>
          </cell>
          <cell r="AW242">
            <v>819</v>
          </cell>
          <cell r="AX242">
            <v>614</v>
          </cell>
          <cell r="AY242">
            <v>696</v>
          </cell>
          <cell r="AZ242">
            <v>681</v>
          </cell>
          <cell r="BA242">
            <v>584</v>
          </cell>
          <cell r="BB242">
            <v>195</v>
          </cell>
        </row>
        <row r="243">
          <cell r="D243" t="str">
            <v>el</v>
          </cell>
          <cell r="H243">
            <v>28908</v>
          </cell>
          <cell r="I243">
            <v>19628</v>
          </cell>
          <cell r="J243">
            <v>27857</v>
          </cell>
          <cell r="K243">
            <v>27828</v>
          </cell>
          <cell r="L243">
            <v>24804</v>
          </cell>
          <cell r="M243">
            <v>25362</v>
          </cell>
          <cell r="N243">
            <v>26291</v>
          </cell>
          <cell r="O243">
            <v>25668</v>
          </cell>
          <cell r="P243">
            <v>25445</v>
          </cell>
          <cell r="Q243">
            <v>24480</v>
          </cell>
          <cell r="Y243">
            <v>4300.0889999999999</v>
          </cell>
          <cell r="Z243">
            <v>4757.8010000000004</v>
          </cell>
          <cell r="AA243">
            <v>4698.2619999999997</v>
          </cell>
          <cell r="AB243">
            <v>4698.2619999999997</v>
          </cell>
          <cell r="AC243">
            <v>4968.607</v>
          </cell>
          <cell r="AD243">
            <v>5323.8940000000002</v>
          </cell>
          <cell r="AE243">
            <v>4937.8909999999996</v>
          </cell>
          <cell r="AF243">
            <v>5094.2552048800244</v>
          </cell>
          <cell r="AG243">
            <v>4927.8914591604871</v>
          </cell>
          <cell r="AH243">
            <v>4857.0220614006685</v>
          </cell>
          <cell r="AI243">
            <v>5311</v>
          </cell>
          <cell r="AJ243">
            <v>4959</v>
          </cell>
          <cell r="AK243">
            <v>4873</v>
          </cell>
          <cell r="AL243">
            <v>4580</v>
          </cell>
          <cell r="AM243">
            <v>5356</v>
          </cell>
          <cell r="AN243">
            <v>18989</v>
          </cell>
          <cell r="AO243">
            <v>18554</v>
          </cell>
          <cell r="AP243">
            <v>18621</v>
          </cell>
          <cell r="AQ243">
            <v>18005</v>
          </cell>
          <cell r="AR243">
            <v>13141</v>
          </cell>
          <cell r="AS243">
            <v>16239</v>
          </cell>
          <cell r="AT243">
            <v>17405</v>
          </cell>
          <cell r="AU243">
            <v>15687</v>
          </cell>
          <cell r="AV243">
            <v>15515</v>
          </cell>
          <cell r="AW243">
            <v>15525</v>
          </cell>
          <cell r="AX243">
            <v>15769</v>
          </cell>
          <cell r="AY243">
            <v>15795</v>
          </cell>
          <cell r="AZ243">
            <v>16424</v>
          </cell>
          <cell r="BA243">
            <v>16563</v>
          </cell>
          <cell r="BB243">
            <v>196</v>
          </cell>
        </row>
        <row r="244">
          <cell r="D244" t="str">
            <v>totalt</v>
          </cell>
          <cell r="Y244">
            <v>17940.12588571111</v>
          </cell>
          <cell r="Z244">
            <v>16068.979612666666</v>
          </cell>
          <cell r="AA244">
            <v>16454.875099888886</v>
          </cell>
          <cell r="AB244">
            <v>17005.854374326074</v>
          </cell>
          <cell r="AC244">
            <v>18212.599924353024</v>
          </cell>
          <cell r="AD244">
            <v>19514.568938991222</v>
          </cell>
          <cell r="AE244">
            <v>20144.17132899705</v>
          </cell>
          <cell r="AF244">
            <v>20383.447027399699</v>
          </cell>
          <cell r="AG244">
            <v>19775.731536340791</v>
          </cell>
          <cell r="AH244">
            <v>20047.993058054693</v>
          </cell>
          <cell r="AI244">
            <v>20565.326337670514</v>
          </cell>
          <cell r="AJ244">
            <v>22187.465947555153</v>
          </cell>
          <cell r="AK244">
            <v>22185.662961217422</v>
          </cell>
          <cell r="AL244">
            <v>22687.753102484472</v>
          </cell>
          <cell r="AM244">
            <v>23488.746539058167</v>
          </cell>
          <cell r="AN244">
            <v>77568</v>
          </cell>
          <cell r="AO244">
            <v>79821</v>
          </cell>
          <cell r="AP244">
            <v>83846</v>
          </cell>
          <cell r="AQ244">
            <v>77604</v>
          </cell>
          <cell r="AR244">
            <v>49981</v>
          </cell>
          <cell r="AS244">
            <v>74842</v>
          </cell>
          <cell r="AT244">
            <v>74745</v>
          </cell>
          <cell r="AU244">
            <v>65996</v>
          </cell>
          <cell r="AV244">
            <v>66426</v>
          </cell>
          <cell r="AW244">
            <v>67198</v>
          </cell>
          <cell r="AX244">
            <v>65172</v>
          </cell>
          <cell r="AY244">
            <v>63915</v>
          </cell>
          <cell r="AZ244">
            <v>65975</v>
          </cell>
          <cell r="BA244">
            <v>63805</v>
          </cell>
          <cell r="BB244">
            <v>197</v>
          </cell>
        </row>
        <row r="246">
          <cell r="D246" t="str">
            <v>biobränsle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9.5683788805313086E-2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5.6056600000000002E-3</v>
          </cell>
          <cell r="AL246">
            <v>1.4103701000000002</v>
          </cell>
          <cell r="AM246">
            <v>5.6056600000000002E-3</v>
          </cell>
          <cell r="AN246">
            <v>0</v>
          </cell>
          <cell r="AO246">
            <v>0</v>
          </cell>
          <cell r="AP246">
            <v>0</v>
          </cell>
          <cell r="AQ246">
            <v>1</v>
          </cell>
          <cell r="AR246">
            <v>3</v>
          </cell>
          <cell r="AS246">
            <v>5</v>
          </cell>
          <cell r="AT246">
            <v>7</v>
          </cell>
          <cell r="AU246">
            <v>5</v>
          </cell>
          <cell r="AV246">
            <v>1</v>
          </cell>
          <cell r="AW246">
            <v>5</v>
          </cell>
          <cell r="AX246">
            <v>7</v>
          </cell>
          <cell r="AY246">
            <v>18</v>
          </cell>
          <cell r="AZ246">
            <v>25</v>
          </cell>
          <cell r="BA246">
            <v>27</v>
          </cell>
          <cell r="BB246">
            <v>199</v>
          </cell>
        </row>
        <row r="247">
          <cell r="D247" t="str">
            <v>kol</v>
          </cell>
          <cell r="Y247">
            <v>469.52054499999997</v>
          </cell>
          <cell r="Z247">
            <v>491.06511999999992</v>
          </cell>
          <cell r="AA247">
            <v>465.43841500000002</v>
          </cell>
          <cell r="AB247">
            <v>535.40158750000001</v>
          </cell>
          <cell r="AC247">
            <v>519.41324499999996</v>
          </cell>
          <cell r="AD247">
            <v>470.01947200000001</v>
          </cell>
          <cell r="AE247">
            <v>566.46683175067039</v>
          </cell>
          <cell r="AF247">
            <v>408.21299999999997</v>
          </cell>
          <cell r="AG247">
            <v>430.89150000000001</v>
          </cell>
          <cell r="AH247">
            <v>408.31883300000004</v>
          </cell>
          <cell r="AI247">
            <v>497.4151</v>
          </cell>
          <cell r="AJ247">
            <v>424.84390000000002</v>
          </cell>
          <cell r="AK247">
            <v>438.45100000000002</v>
          </cell>
          <cell r="AL247">
            <v>389.48055899999997</v>
          </cell>
          <cell r="AM247">
            <v>464.63710799999996</v>
          </cell>
          <cell r="AN247">
            <v>1484</v>
          </cell>
          <cell r="AO247">
            <v>1321</v>
          </cell>
          <cell r="AP247">
            <v>1306</v>
          </cell>
          <cell r="AQ247">
            <v>1720</v>
          </cell>
          <cell r="AR247">
            <v>1516</v>
          </cell>
          <cell r="AS247">
            <v>1337</v>
          </cell>
          <cell r="AT247">
            <v>1295</v>
          </cell>
          <cell r="AU247">
            <v>1286</v>
          </cell>
          <cell r="AV247">
            <v>1254</v>
          </cell>
          <cell r="AW247">
            <v>1249</v>
          </cell>
          <cell r="AX247">
            <v>1351</v>
          </cell>
          <cell r="AY247">
            <v>1285</v>
          </cell>
          <cell r="AZ247">
            <v>1454</v>
          </cell>
          <cell r="BA247">
            <v>1598</v>
          </cell>
          <cell r="BB247">
            <v>200</v>
          </cell>
        </row>
        <row r="248">
          <cell r="D248" t="str">
            <v>koks</v>
          </cell>
          <cell r="Y248">
            <v>53.523934899999993</v>
          </cell>
          <cell r="Z248">
            <v>135.33319279999998</v>
          </cell>
          <cell r="AA248">
            <v>205.78156889999997</v>
          </cell>
          <cell r="AB248">
            <v>213.56587680000001</v>
          </cell>
          <cell r="AC248">
            <v>221.96109586458854</v>
          </cell>
          <cell r="AD248">
            <v>214.07236513036989</v>
          </cell>
          <cell r="AE248">
            <v>31.168399999999998</v>
          </cell>
          <cell r="AF248">
            <v>62.336799999999997</v>
          </cell>
          <cell r="AG248">
            <v>54.544699999999999</v>
          </cell>
          <cell r="AH248">
            <v>31.168399999999998</v>
          </cell>
          <cell r="AI248">
            <v>423.89023999999995</v>
          </cell>
          <cell r="AJ248">
            <v>38.181290000000004</v>
          </cell>
          <cell r="AK248">
            <v>46.752600000000001</v>
          </cell>
          <cell r="AL248">
            <v>52.025280306999996</v>
          </cell>
          <cell r="AM248">
            <v>59.274504700000001</v>
          </cell>
          <cell r="AN248">
            <v>236</v>
          </cell>
          <cell r="AO248">
            <v>201</v>
          </cell>
          <cell r="AP248">
            <v>343</v>
          </cell>
          <cell r="AQ248">
            <v>189</v>
          </cell>
          <cell r="AR248">
            <v>166</v>
          </cell>
          <cell r="AS248">
            <v>131</v>
          </cell>
          <cell r="AT248">
            <v>130</v>
          </cell>
          <cell r="AU248">
            <v>149</v>
          </cell>
          <cell r="AV248">
            <v>106</v>
          </cell>
          <cell r="AW248">
            <v>3</v>
          </cell>
          <cell r="AX248">
            <v>0</v>
          </cell>
          <cell r="AY248">
            <v>94</v>
          </cell>
          <cell r="AZ248">
            <v>135</v>
          </cell>
          <cell r="BA248">
            <v>100</v>
          </cell>
          <cell r="BB248">
            <v>201</v>
          </cell>
        </row>
        <row r="249">
          <cell r="D249" t="str">
            <v>gasol</v>
          </cell>
          <cell r="Y249">
            <v>176.87740060000002</v>
          </cell>
          <cell r="Z249">
            <v>174.62445</v>
          </cell>
          <cell r="AA249">
            <v>157.660932</v>
          </cell>
          <cell r="AB249">
            <v>154.92322999999999</v>
          </cell>
          <cell r="AC249">
            <v>151.865703</v>
          </cell>
          <cell r="AD249">
            <v>135.14378713562576</v>
          </cell>
          <cell r="AE249">
            <v>123.657138</v>
          </cell>
          <cell r="AF249">
            <v>84.919933999999998</v>
          </cell>
          <cell r="AG249">
            <v>104.64418139999999</v>
          </cell>
          <cell r="AH249">
            <v>130.6813478666667</v>
          </cell>
          <cell r="AI249">
            <v>163.75040000000001</v>
          </cell>
          <cell r="AJ249">
            <v>115.137</v>
          </cell>
          <cell r="AK249">
            <v>166.31030000000001</v>
          </cell>
          <cell r="AL249">
            <v>199.729075475</v>
          </cell>
          <cell r="AM249">
            <v>197.94763630000003</v>
          </cell>
          <cell r="AN249">
            <v>705</v>
          </cell>
          <cell r="AO249">
            <v>781</v>
          </cell>
          <cell r="AP249">
            <v>775</v>
          </cell>
          <cell r="AQ249">
            <v>758</v>
          </cell>
          <cell r="AR249">
            <v>526</v>
          </cell>
          <cell r="AS249">
            <v>728</v>
          </cell>
          <cell r="AT249">
            <v>705</v>
          </cell>
          <cell r="AU249">
            <v>796</v>
          </cell>
          <cell r="AV249">
            <v>787</v>
          </cell>
          <cell r="AW249">
            <v>814</v>
          </cell>
          <cell r="AX249">
            <v>681</v>
          </cell>
          <cell r="AY249">
            <v>698</v>
          </cell>
          <cell r="AZ249">
            <v>839</v>
          </cell>
          <cell r="BA249">
            <v>836</v>
          </cell>
          <cell r="BB249">
            <v>202</v>
          </cell>
        </row>
        <row r="250">
          <cell r="D250" t="str">
            <v>bensin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203</v>
          </cell>
        </row>
        <row r="251">
          <cell r="D251" t="str">
            <v>lättoljor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204</v>
          </cell>
        </row>
        <row r="252">
          <cell r="D252" t="str">
            <v>diesel</v>
          </cell>
          <cell r="Y252">
            <v>0.26690849999999999</v>
          </cell>
          <cell r="Z252">
            <v>0.158168</v>
          </cell>
          <cell r="AA252">
            <v>0.257023</v>
          </cell>
          <cell r="AB252">
            <v>0.2273665</v>
          </cell>
          <cell r="AC252">
            <v>0.17793899999999999</v>
          </cell>
          <cell r="AD252">
            <v>0.16805350000000002</v>
          </cell>
          <cell r="AE252">
            <v>0.13839700000000002</v>
          </cell>
          <cell r="AF252">
            <v>2.8700461110568947</v>
          </cell>
          <cell r="AG252">
            <v>0.87882760556612605</v>
          </cell>
          <cell r="AH252">
            <v>1.012454047747386</v>
          </cell>
          <cell r="AI252">
            <v>1.9771000000000001</v>
          </cell>
          <cell r="AJ252">
            <v>0</v>
          </cell>
          <cell r="AK252">
            <v>0</v>
          </cell>
          <cell r="AL252">
            <v>0.27369185100000004</v>
          </cell>
          <cell r="AM252">
            <v>0</v>
          </cell>
          <cell r="AN252">
            <v>0</v>
          </cell>
          <cell r="AO252">
            <v>3</v>
          </cell>
          <cell r="AP252">
            <v>1</v>
          </cell>
          <cell r="AQ252">
            <v>0</v>
          </cell>
          <cell r="AR252">
            <v>2</v>
          </cell>
          <cell r="AS252">
            <v>5</v>
          </cell>
          <cell r="AT252">
            <v>1</v>
          </cell>
          <cell r="AU252">
            <v>1</v>
          </cell>
          <cell r="AV252">
            <v>0</v>
          </cell>
          <cell r="AW252">
            <v>0</v>
          </cell>
          <cell r="AX252">
            <v>2</v>
          </cell>
          <cell r="AY252">
            <v>29</v>
          </cell>
          <cell r="AZ252">
            <v>44</v>
          </cell>
          <cell r="BA252">
            <v>46</v>
          </cell>
          <cell r="BB252">
            <v>205</v>
          </cell>
        </row>
        <row r="253">
          <cell r="D253" t="str">
            <v>eo1</v>
          </cell>
          <cell r="Y253">
            <v>110.1343555</v>
          </cell>
          <cell r="Z253">
            <v>87.120911500000005</v>
          </cell>
          <cell r="AA253">
            <v>89.977821000000006</v>
          </cell>
          <cell r="AB253">
            <v>93.674998000000016</v>
          </cell>
          <cell r="AC253">
            <v>86.359728000000004</v>
          </cell>
          <cell r="AD253">
            <v>81.762970500000009</v>
          </cell>
          <cell r="AE253">
            <v>76.17766300000001</v>
          </cell>
          <cell r="AF253">
            <v>67.676133000000007</v>
          </cell>
          <cell r="AG253">
            <v>82.416402050000002</v>
          </cell>
          <cell r="AH253">
            <v>61.107641914285729</v>
          </cell>
          <cell r="AI253">
            <v>112.69470000000001</v>
          </cell>
          <cell r="AJ253">
            <v>109.5963</v>
          </cell>
          <cell r="AK253">
            <v>49.816500000000005</v>
          </cell>
          <cell r="AL253">
            <v>52.144325412000008</v>
          </cell>
          <cell r="AM253">
            <v>49.816500000000005</v>
          </cell>
          <cell r="AN253">
            <v>340</v>
          </cell>
          <cell r="AO253">
            <v>276</v>
          </cell>
          <cell r="AP253">
            <v>199</v>
          </cell>
          <cell r="AQ253">
            <v>292</v>
          </cell>
          <cell r="AR253">
            <v>167</v>
          </cell>
          <cell r="AS253">
            <v>221</v>
          </cell>
          <cell r="AT253">
            <v>238</v>
          </cell>
          <cell r="AU253">
            <v>219</v>
          </cell>
          <cell r="AV253">
            <v>218</v>
          </cell>
          <cell r="AW253">
            <v>248</v>
          </cell>
          <cell r="AX253">
            <v>321</v>
          </cell>
          <cell r="AY253">
            <v>489</v>
          </cell>
          <cell r="AZ253">
            <v>502</v>
          </cell>
          <cell r="BA253">
            <v>459</v>
          </cell>
          <cell r="BB253">
            <v>206</v>
          </cell>
        </row>
        <row r="254">
          <cell r="D254" t="str">
            <v>eo2-6</v>
          </cell>
          <cell r="Y254">
            <v>143.8947336</v>
          </cell>
          <cell r="Z254">
            <v>148.71862499999997</v>
          </cell>
          <cell r="AA254">
            <v>110.49523439999999</v>
          </cell>
          <cell r="AB254">
            <v>121.37194284378366</v>
          </cell>
          <cell r="AC254">
            <v>84.82910369999999</v>
          </cell>
          <cell r="AD254">
            <v>80.037660000000002</v>
          </cell>
          <cell r="AE254">
            <v>82.211655899999997</v>
          </cell>
          <cell r="AF254">
            <v>101.47477379999999</v>
          </cell>
          <cell r="AG254">
            <v>103.38918809999998</v>
          </cell>
          <cell r="AH254">
            <v>120.24576824999998</v>
          </cell>
          <cell r="AI254">
            <v>175.21757999999997</v>
          </cell>
          <cell r="AJ254">
            <v>63.548400000000001</v>
          </cell>
          <cell r="AK254">
            <v>84.731200000000001</v>
          </cell>
          <cell r="AL254">
            <v>86.312090589999997</v>
          </cell>
          <cell r="AM254">
            <v>84.664000000000001</v>
          </cell>
          <cell r="AN254">
            <v>314</v>
          </cell>
          <cell r="AO254">
            <v>309</v>
          </cell>
          <cell r="AP254">
            <v>238</v>
          </cell>
          <cell r="AQ254">
            <v>196</v>
          </cell>
          <cell r="AR254">
            <v>210</v>
          </cell>
          <cell r="AS254">
            <v>254</v>
          </cell>
          <cell r="AT254">
            <v>173</v>
          </cell>
          <cell r="AU254">
            <v>198</v>
          </cell>
          <cell r="AV254">
            <v>179</v>
          </cell>
          <cell r="AW254">
            <v>91</v>
          </cell>
          <cell r="AX254">
            <v>146</v>
          </cell>
          <cell r="AY254">
            <v>159</v>
          </cell>
          <cell r="AZ254">
            <v>113</v>
          </cell>
          <cell r="BA254">
            <v>128</v>
          </cell>
          <cell r="BB254">
            <v>207</v>
          </cell>
        </row>
        <row r="255">
          <cell r="D255" t="str">
            <v>övriga petroleumprodukter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190.52767751462613</v>
          </cell>
          <cell r="AG255">
            <v>0</v>
          </cell>
          <cell r="AH255">
            <v>0</v>
          </cell>
          <cell r="AI255">
            <v>11.680911680911681</v>
          </cell>
          <cell r="AJ255">
            <v>0</v>
          </cell>
          <cell r="AK255">
            <v>269.57264957264954</v>
          </cell>
          <cell r="AL255">
            <v>286.11290754529648</v>
          </cell>
          <cell r="AM255">
            <v>0</v>
          </cell>
          <cell r="AN255">
            <v>0</v>
          </cell>
          <cell r="AO255">
            <v>1</v>
          </cell>
          <cell r="AP255">
            <v>1</v>
          </cell>
          <cell r="AQ255">
            <v>0</v>
          </cell>
          <cell r="AR255">
            <v>0</v>
          </cell>
          <cell r="AS255">
            <v>44</v>
          </cell>
          <cell r="AT255">
            <v>49</v>
          </cell>
          <cell r="AU255">
            <v>58</v>
          </cell>
          <cell r="AV255">
            <v>118</v>
          </cell>
          <cell r="AW255">
            <v>176</v>
          </cell>
          <cell r="AX255">
            <v>148</v>
          </cell>
          <cell r="AY255">
            <v>95</v>
          </cell>
          <cell r="AZ255">
            <v>67</v>
          </cell>
          <cell r="BA255">
            <v>92</v>
          </cell>
          <cell r="BB255">
            <v>208</v>
          </cell>
        </row>
        <row r="256">
          <cell r="D256" t="str">
            <v>naturgas</v>
          </cell>
          <cell r="Y256">
            <v>49.377600000000001</v>
          </cell>
          <cell r="Z256">
            <v>40.3812</v>
          </cell>
          <cell r="AA256">
            <v>39.474000000000004</v>
          </cell>
          <cell r="AB256">
            <v>31.483080000000001</v>
          </cell>
          <cell r="AC256">
            <v>26.73</v>
          </cell>
          <cell r="AD256">
            <v>30.141720000000003</v>
          </cell>
          <cell r="AE256">
            <v>58.514400000000002</v>
          </cell>
          <cell r="AF256">
            <v>63.724320000000006</v>
          </cell>
          <cell r="AG256">
            <v>128.81916000000001</v>
          </cell>
          <cell r="AH256">
            <v>95.455259999999996</v>
          </cell>
          <cell r="AI256">
            <v>95.256000000000014</v>
          </cell>
          <cell r="AJ256">
            <v>89.91</v>
          </cell>
          <cell r="AK256">
            <v>69.3</v>
          </cell>
          <cell r="AL256">
            <v>75.763754999999989</v>
          </cell>
          <cell r="AM256">
            <v>77.332499999999996</v>
          </cell>
          <cell r="AN256">
            <v>302</v>
          </cell>
          <cell r="AO256">
            <v>313</v>
          </cell>
          <cell r="AP256">
            <v>315</v>
          </cell>
          <cell r="AQ256">
            <v>325</v>
          </cell>
          <cell r="AR256">
            <v>299</v>
          </cell>
          <cell r="AS256">
            <v>318</v>
          </cell>
          <cell r="AT256">
            <v>271</v>
          </cell>
          <cell r="AU256">
            <v>264</v>
          </cell>
          <cell r="AV256">
            <v>254</v>
          </cell>
          <cell r="AW256">
            <v>246</v>
          </cell>
          <cell r="AX256">
            <v>274</v>
          </cell>
          <cell r="AY256">
            <v>285</v>
          </cell>
          <cell r="AZ256">
            <v>289</v>
          </cell>
          <cell r="BA256">
            <v>309</v>
          </cell>
          <cell r="BB256">
            <v>209</v>
          </cell>
        </row>
        <row r="257">
          <cell r="D257" t="str">
            <v>stadsgas</v>
          </cell>
          <cell r="Y257">
            <v>0</v>
          </cell>
          <cell r="Z257">
            <v>3.2564000000000003E-2</v>
          </cell>
          <cell r="AA257">
            <v>3.2564000000000003E-2</v>
          </cell>
          <cell r="AB257">
            <v>6.077514878792277E-2</v>
          </cell>
          <cell r="AC257">
            <v>7.7268670385479965E-2</v>
          </cell>
          <cell r="AD257">
            <v>4.1867999999999995E-2</v>
          </cell>
          <cell r="AE257">
            <v>2.7912000000000003E-2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210</v>
          </cell>
        </row>
        <row r="258">
          <cell r="D258" t="str">
            <v>masugnsgas m.m.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211</v>
          </cell>
        </row>
        <row r="259">
          <cell r="D259" t="str">
            <v>övriga bränslen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887.0084700000001</v>
          </cell>
          <cell r="AH259">
            <v>0.55824000000000007</v>
          </cell>
          <cell r="AI259">
            <v>0</v>
          </cell>
          <cell r="AJ259">
            <v>0.35052820000000001</v>
          </cell>
          <cell r="AK259">
            <v>3.8379000000000004E-3</v>
          </cell>
          <cell r="AL259">
            <v>0</v>
          </cell>
          <cell r="AM259">
            <v>0.38379000000000002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42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212</v>
          </cell>
        </row>
        <row r="260">
          <cell r="D260" t="str">
            <v>fjärrvärme</v>
          </cell>
          <cell r="Y260">
            <v>26.231000000000002</v>
          </cell>
          <cell r="Z260">
            <v>26.896000000000001</v>
          </cell>
          <cell r="AA260">
            <v>13</v>
          </cell>
          <cell r="AB260">
            <v>44.1</v>
          </cell>
          <cell r="AC260">
            <v>39.799999999999997</v>
          </cell>
          <cell r="AD260">
            <v>36.429534776195204</v>
          </cell>
          <cell r="AE260">
            <v>33.654029955570486</v>
          </cell>
          <cell r="AF260">
            <v>35.196177580189996</v>
          </cell>
          <cell r="AG260">
            <v>39.002300000000005</v>
          </cell>
          <cell r="AH260">
            <v>36.074714285714293</v>
          </cell>
          <cell r="AI260">
            <v>32.78536262369758</v>
          </cell>
          <cell r="AJ260">
            <v>0</v>
          </cell>
          <cell r="AK260">
            <v>0</v>
          </cell>
          <cell r="AL260">
            <v>58</v>
          </cell>
          <cell r="AM260">
            <v>70</v>
          </cell>
          <cell r="AN260">
            <v>262</v>
          </cell>
          <cell r="AO260">
            <v>253</v>
          </cell>
          <cell r="AP260">
            <v>282</v>
          </cell>
          <cell r="AQ260">
            <v>295</v>
          </cell>
          <cell r="AR260">
            <v>296</v>
          </cell>
          <cell r="AS260">
            <v>372</v>
          </cell>
          <cell r="AT260">
            <v>232</v>
          </cell>
          <cell r="AU260">
            <v>273</v>
          </cell>
          <cell r="AV260">
            <v>204</v>
          </cell>
          <cell r="AW260">
            <v>165</v>
          </cell>
          <cell r="AX260">
            <v>214</v>
          </cell>
          <cell r="AY260">
            <v>226</v>
          </cell>
          <cell r="AZ260">
            <v>195</v>
          </cell>
          <cell r="BA260">
            <v>250</v>
          </cell>
          <cell r="BB260">
            <v>213</v>
          </cell>
        </row>
        <row r="261">
          <cell r="D261" t="str">
            <v>el</v>
          </cell>
          <cell r="Y261">
            <v>2561.21</v>
          </cell>
          <cell r="Z261">
            <v>2509.404</v>
          </cell>
          <cell r="AA261">
            <v>2295.7719999999999</v>
          </cell>
          <cell r="AB261">
            <v>2295.741</v>
          </cell>
          <cell r="AC261">
            <v>2338.0050000000001</v>
          </cell>
          <cell r="AD261">
            <v>2581.0329999999999</v>
          </cell>
          <cell r="AE261">
            <v>2656.652</v>
          </cell>
          <cell r="AF261">
            <v>2653.0335519253117</v>
          </cell>
          <cell r="AG261">
            <v>2688.5254873672543</v>
          </cell>
          <cell r="AH261">
            <v>2643.6920660663477</v>
          </cell>
          <cell r="AI261">
            <v>2799</v>
          </cell>
          <cell r="AJ261">
            <v>2931</v>
          </cell>
          <cell r="AK261">
            <v>2972</v>
          </cell>
          <cell r="AL261">
            <v>2943</v>
          </cell>
          <cell r="AM261">
            <v>3269</v>
          </cell>
          <cell r="AN261">
            <v>11611</v>
          </cell>
          <cell r="AO261">
            <v>11668</v>
          </cell>
          <cell r="AP261">
            <v>11470</v>
          </cell>
          <cell r="AQ261">
            <v>10618</v>
          </cell>
          <cell r="AR261">
            <v>8280</v>
          </cell>
          <cell r="AS261">
            <v>10224</v>
          </cell>
          <cell r="AT261">
            <v>11316</v>
          </cell>
          <cell r="AU261">
            <v>11999</v>
          </cell>
          <cell r="AV261">
            <v>11590</v>
          </cell>
          <cell r="AW261">
            <v>10466</v>
          </cell>
          <cell r="AX261">
            <v>10816</v>
          </cell>
          <cell r="AY261">
            <v>10976</v>
          </cell>
          <cell r="AZ261">
            <v>11101</v>
          </cell>
          <cell r="BA261">
            <v>11260</v>
          </cell>
          <cell r="BB261">
            <v>214</v>
          </cell>
        </row>
        <row r="262">
          <cell r="D262" t="str">
            <v>totalt</v>
          </cell>
          <cell r="Y262">
            <v>3591.0364780999998</v>
          </cell>
          <cell r="Z262">
            <v>3613.7342312999999</v>
          </cell>
          <cell r="AA262">
            <v>3377.8895583000003</v>
          </cell>
          <cell r="AB262">
            <v>3490.5498567925715</v>
          </cell>
          <cell r="AC262">
            <v>3469.2190832349743</v>
          </cell>
          <cell r="AD262">
            <v>3628.8504310421908</v>
          </cell>
          <cell r="AE262">
            <v>3628.7641113950467</v>
          </cell>
          <cell r="AF262">
            <v>3669.9724139311847</v>
          </cell>
          <cell r="AG262">
            <v>4520.1202165228206</v>
          </cell>
          <cell r="AH262">
            <v>3528.3147254307619</v>
          </cell>
          <cell r="AI262">
            <v>4313.6673943046098</v>
          </cell>
          <cell r="AJ262">
            <v>3772.5674182000002</v>
          </cell>
          <cell r="AK262">
            <v>4096.9436931326491</v>
          </cell>
          <cell r="AL262">
            <v>4144.2520552802962</v>
          </cell>
          <cell r="AM262">
            <v>4273.0616446599997</v>
          </cell>
          <cell r="AN262">
            <v>15254</v>
          </cell>
          <cell r="AO262">
            <v>15126</v>
          </cell>
          <cell r="AP262">
            <v>14930</v>
          </cell>
          <cell r="AQ262">
            <v>14394</v>
          </cell>
          <cell r="AR262">
            <v>11465</v>
          </cell>
          <cell r="AS262">
            <v>13639</v>
          </cell>
          <cell r="AT262">
            <v>14417</v>
          </cell>
          <cell r="AU262">
            <v>15290</v>
          </cell>
          <cell r="AV262">
            <v>14711</v>
          </cell>
          <cell r="AW262">
            <v>13463</v>
          </cell>
          <cell r="AX262">
            <v>13960</v>
          </cell>
          <cell r="AY262">
            <v>14354</v>
          </cell>
          <cell r="AZ262">
            <v>14764</v>
          </cell>
          <cell r="BA262">
            <v>15105</v>
          </cell>
          <cell r="BB262">
            <v>215</v>
          </cell>
        </row>
        <row r="264">
          <cell r="D264" t="str">
            <v>biobränsle</v>
          </cell>
          <cell r="H264">
            <v>84</v>
          </cell>
          <cell r="I264">
            <v>84</v>
          </cell>
          <cell r="J264">
            <v>84</v>
          </cell>
          <cell r="K264">
            <v>294</v>
          </cell>
          <cell r="L264">
            <v>209</v>
          </cell>
          <cell r="M264">
            <v>293</v>
          </cell>
          <cell r="N264">
            <v>419</v>
          </cell>
          <cell r="O264">
            <v>461</v>
          </cell>
          <cell r="P264">
            <v>670</v>
          </cell>
          <cell r="Q264">
            <v>293</v>
          </cell>
          <cell r="Y264">
            <v>23.26</v>
          </cell>
          <cell r="Z264">
            <v>0</v>
          </cell>
          <cell r="AA264">
            <v>46.52</v>
          </cell>
          <cell r="AB264">
            <v>46.52</v>
          </cell>
          <cell r="AC264">
            <v>0</v>
          </cell>
          <cell r="AD264">
            <v>0</v>
          </cell>
          <cell r="AE264">
            <v>139.39879979514919</v>
          </cell>
          <cell r="AF264">
            <v>93.622162224733287</v>
          </cell>
          <cell r="AG264">
            <v>28.990141999999999</v>
          </cell>
          <cell r="AH264">
            <v>30.597000000000001</v>
          </cell>
          <cell r="AI264">
            <v>146.53800000000001</v>
          </cell>
          <cell r="AJ264">
            <v>34.995413157000002</v>
          </cell>
          <cell r="AK264">
            <v>34.89</v>
          </cell>
          <cell r="AL264">
            <v>32.308721499999997</v>
          </cell>
          <cell r="AM264">
            <v>28.051560000000002</v>
          </cell>
          <cell r="AN264">
            <v>200</v>
          </cell>
          <cell r="AO264">
            <v>208</v>
          </cell>
          <cell r="AP264">
            <v>392</v>
          </cell>
          <cell r="AQ264">
            <v>343</v>
          </cell>
          <cell r="AR264">
            <v>216</v>
          </cell>
          <cell r="AS264">
            <v>548</v>
          </cell>
          <cell r="AT264">
            <v>170</v>
          </cell>
          <cell r="AU264">
            <v>215</v>
          </cell>
          <cell r="AV264">
            <v>231</v>
          </cell>
          <cell r="AW264">
            <v>264</v>
          </cell>
          <cell r="AX264">
            <v>507</v>
          </cell>
          <cell r="AY264">
            <v>527</v>
          </cell>
          <cell r="AZ264">
            <v>345</v>
          </cell>
          <cell r="BA264">
            <v>571</v>
          </cell>
          <cell r="BB264">
            <v>217</v>
          </cell>
        </row>
        <row r="265">
          <cell r="D265" t="str">
            <v>kol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54</v>
          </cell>
          <cell r="O265">
            <v>245</v>
          </cell>
          <cell r="P265">
            <v>163</v>
          </cell>
          <cell r="Q265">
            <v>0</v>
          </cell>
          <cell r="Y265">
            <v>2.1091005000000003</v>
          </cell>
          <cell r="Z265">
            <v>11.0444295</v>
          </cell>
          <cell r="AA265">
            <v>1.5874949999999999</v>
          </cell>
          <cell r="AB265">
            <v>3.0540380000000003</v>
          </cell>
          <cell r="AC265">
            <v>2.7440984999999998</v>
          </cell>
          <cell r="AD265">
            <v>2.9028480000000001</v>
          </cell>
          <cell r="AE265">
            <v>6.6997652086644317</v>
          </cell>
          <cell r="AF265">
            <v>0</v>
          </cell>
          <cell r="AG265">
            <v>0</v>
          </cell>
          <cell r="AH265">
            <v>6.2119369565217387E-2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218</v>
          </cell>
        </row>
        <row r="266">
          <cell r="D266" t="str">
            <v>koks</v>
          </cell>
          <cell r="H266">
            <v>954</v>
          </cell>
          <cell r="I266">
            <v>870</v>
          </cell>
          <cell r="J266">
            <v>870</v>
          </cell>
          <cell r="K266">
            <v>728</v>
          </cell>
          <cell r="L266">
            <v>589</v>
          </cell>
          <cell r="M266">
            <v>505</v>
          </cell>
          <cell r="N266">
            <v>617</v>
          </cell>
          <cell r="O266">
            <v>617</v>
          </cell>
          <cell r="P266">
            <v>757</v>
          </cell>
          <cell r="Q266">
            <v>870</v>
          </cell>
          <cell r="Y266">
            <v>291.11285599999997</v>
          </cell>
          <cell r="Z266">
            <v>462.27412459999999</v>
          </cell>
          <cell r="AA266">
            <v>412.49039769999996</v>
          </cell>
          <cell r="AB266">
            <v>435.64072679999998</v>
          </cell>
          <cell r="AC266">
            <v>629.24463653850466</v>
          </cell>
          <cell r="AD266">
            <v>561.52190063630451</v>
          </cell>
          <cell r="AE266">
            <v>101.29729999999999</v>
          </cell>
          <cell r="AF266">
            <v>116.88149999999999</v>
          </cell>
          <cell r="AG266">
            <v>124.67359999999999</v>
          </cell>
          <cell r="AH266">
            <v>132.4657</v>
          </cell>
          <cell r="AI266">
            <v>122.33596999999999</v>
          </cell>
          <cell r="AJ266">
            <v>116.88149999999999</v>
          </cell>
          <cell r="AK266">
            <v>101.29729999999999</v>
          </cell>
          <cell r="AL266">
            <v>88.705266399999985</v>
          </cell>
          <cell r="AM266">
            <v>96.357108599999989</v>
          </cell>
          <cell r="AN266">
            <v>376</v>
          </cell>
          <cell r="AO266">
            <v>432</v>
          </cell>
          <cell r="AP266">
            <v>447</v>
          </cell>
          <cell r="AQ266">
            <v>423</v>
          </cell>
          <cell r="AR266">
            <v>215</v>
          </cell>
          <cell r="AS266">
            <v>357</v>
          </cell>
          <cell r="AT266">
            <v>345</v>
          </cell>
          <cell r="AU266">
            <v>276</v>
          </cell>
          <cell r="AV266">
            <v>248</v>
          </cell>
          <cell r="AW266">
            <v>152</v>
          </cell>
          <cell r="AX266">
            <v>298</v>
          </cell>
          <cell r="AY266">
            <v>0</v>
          </cell>
          <cell r="AZ266">
            <v>281</v>
          </cell>
          <cell r="BA266">
            <v>313</v>
          </cell>
          <cell r="BB266">
            <v>219</v>
          </cell>
        </row>
        <row r="267">
          <cell r="D267" t="str">
            <v>gasol</v>
          </cell>
          <cell r="H267">
            <v>1013</v>
          </cell>
          <cell r="I267">
            <v>1013</v>
          </cell>
          <cell r="J267">
            <v>1197</v>
          </cell>
          <cell r="K267">
            <v>1196</v>
          </cell>
          <cell r="L267">
            <v>1013</v>
          </cell>
          <cell r="M267">
            <v>921</v>
          </cell>
          <cell r="N267">
            <v>921</v>
          </cell>
          <cell r="O267">
            <v>921</v>
          </cell>
          <cell r="P267">
            <v>1059</v>
          </cell>
          <cell r="Q267">
            <v>1290</v>
          </cell>
          <cell r="Y267">
            <v>485.28066230000002</v>
          </cell>
          <cell r="Z267">
            <v>479.83984400000003</v>
          </cell>
          <cell r="AA267">
            <v>566.70431399999995</v>
          </cell>
          <cell r="AB267">
            <v>389.54684999999995</v>
          </cell>
          <cell r="AC267">
            <v>375.96068400000001</v>
          </cell>
          <cell r="AD267">
            <v>339.42202705533248</v>
          </cell>
          <cell r="AE267">
            <v>479.05947100000003</v>
          </cell>
          <cell r="AF267">
            <v>473.31166262517456</v>
          </cell>
          <cell r="AG267">
            <v>757.83429259999991</v>
          </cell>
          <cell r="AH267">
            <v>608.34621801174671</v>
          </cell>
          <cell r="AI267">
            <v>524.51299999999992</v>
          </cell>
          <cell r="AJ267">
            <v>550.09899999999993</v>
          </cell>
          <cell r="AK267">
            <v>511.72400000000005</v>
          </cell>
          <cell r="AL267">
            <v>413.99047289500004</v>
          </cell>
          <cell r="AM267">
            <v>447.96318960000002</v>
          </cell>
          <cell r="AN267">
            <v>1545</v>
          </cell>
          <cell r="AO267">
            <v>1506</v>
          </cell>
          <cell r="AP267">
            <v>1383</v>
          </cell>
          <cell r="AQ267">
            <v>1269</v>
          </cell>
          <cell r="AR267">
            <v>1064</v>
          </cell>
          <cell r="AS267">
            <v>1339</v>
          </cell>
          <cell r="AT267">
            <v>1355</v>
          </cell>
          <cell r="AU267">
            <v>1297</v>
          </cell>
          <cell r="AV267">
            <v>1264</v>
          </cell>
          <cell r="AW267">
            <v>1176</v>
          </cell>
          <cell r="AX267">
            <v>1292</v>
          </cell>
          <cell r="AY267">
            <v>1274</v>
          </cell>
          <cell r="AZ267">
            <v>1303</v>
          </cell>
          <cell r="BA267">
            <v>1258</v>
          </cell>
          <cell r="BB267">
            <v>220</v>
          </cell>
        </row>
        <row r="268">
          <cell r="D268" t="str">
            <v>bensin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15</v>
          </cell>
          <cell r="AO268">
            <v>20</v>
          </cell>
          <cell r="AP268">
            <v>13</v>
          </cell>
          <cell r="AQ268">
            <v>16</v>
          </cell>
          <cell r="AR268">
            <v>3</v>
          </cell>
          <cell r="AS268">
            <v>6</v>
          </cell>
          <cell r="AT268">
            <v>23</v>
          </cell>
          <cell r="AU268">
            <v>11</v>
          </cell>
          <cell r="AV268">
            <v>12</v>
          </cell>
          <cell r="AW268">
            <v>9</v>
          </cell>
          <cell r="AX268">
            <v>19</v>
          </cell>
          <cell r="AY268">
            <v>11</v>
          </cell>
          <cell r="AZ268">
            <v>23</v>
          </cell>
          <cell r="BA268">
            <v>142</v>
          </cell>
          <cell r="BB268">
            <v>221</v>
          </cell>
        </row>
        <row r="269">
          <cell r="D269" t="str">
            <v>lättoljor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41.974080000000001</v>
          </cell>
          <cell r="AJ269">
            <v>59.894499999999994</v>
          </cell>
          <cell r="AK269">
            <v>23.957799999999999</v>
          </cell>
          <cell r="AL269">
            <v>22.436370004</v>
          </cell>
          <cell r="AM269">
            <v>50.884730416666663</v>
          </cell>
          <cell r="AN269">
            <v>196</v>
          </cell>
          <cell r="AO269">
            <v>1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222</v>
          </cell>
        </row>
        <row r="270">
          <cell r="D270" t="str">
            <v>diesel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Y270">
            <v>136.35070149999999</v>
          </cell>
          <cell r="Z270">
            <v>61.517466499999998</v>
          </cell>
          <cell r="AA270">
            <v>68.417545500000003</v>
          </cell>
          <cell r="AB270">
            <v>77.680259000000007</v>
          </cell>
          <cell r="AC270">
            <v>96.393510500000005</v>
          </cell>
          <cell r="AD270">
            <v>91.144310000000004</v>
          </cell>
          <cell r="AE270">
            <v>86.92320149999999</v>
          </cell>
          <cell r="AF270">
            <v>47.030167366058357</v>
          </cell>
          <cell r="AG270">
            <v>22.281385772979373</v>
          </cell>
          <cell r="AH270">
            <v>28.58919651015599</v>
          </cell>
          <cell r="AI270">
            <v>38.553449999999998</v>
          </cell>
          <cell r="AJ270">
            <v>59.779800000000002</v>
          </cell>
          <cell r="AK270">
            <v>59.779800000000002</v>
          </cell>
          <cell r="AL270">
            <v>54.42253359</v>
          </cell>
          <cell r="AM270">
            <v>56.073452400000001</v>
          </cell>
          <cell r="AN270">
            <v>366</v>
          </cell>
          <cell r="AO270">
            <v>369</v>
          </cell>
          <cell r="AP270">
            <v>382</v>
          </cell>
          <cell r="AQ270">
            <v>400</v>
          </cell>
          <cell r="AR270">
            <v>290</v>
          </cell>
          <cell r="AS270">
            <v>509</v>
          </cell>
          <cell r="AT270">
            <v>233</v>
          </cell>
          <cell r="AU270">
            <v>235</v>
          </cell>
          <cell r="AV270">
            <v>262</v>
          </cell>
          <cell r="AW270">
            <v>321</v>
          </cell>
          <cell r="AX270">
            <v>346</v>
          </cell>
          <cell r="AY270">
            <v>393</v>
          </cell>
          <cell r="AZ270">
            <v>391</v>
          </cell>
          <cell r="BA270">
            <v>443</v>
          </cell>
          <cell r="BB270">
            <v>223</v>
          </cell>
        </row>
        <row r="271">
          <cell r="D271" t="str">
            <v>eo1</v>
          </cell>
          <cell r="H271">
            <v>10249</v>
          </cell>
          <cell r="I271">
            <v>7723</v>
          </cell>
          <cell r="J271">
            <v>8648</v>
          </cell>
          <cell r="K271">
            <v>11140</v>
          </cell>
          <cell r="L271">
            <v>9431</v>
          </cell>
          <cell r="M271">
            <v>9004</v>
          </cell>
          <cell r="N271">
            <v>10890</v>
          </cell>
          <cell r="O271">
            <v>9822</v>
          </cell>
          <cell r="P271">
            <v>8577</v>
          </cell>
          <cell r="Q271">
            <v>7545</v>
          </cell>
          <cell r="Y271">
            <v>1325.072191</v>
          </cell>
          <cell r="Z271">
            <v>1179.2314095000002</v>
          </cell>
          <cell r="AA271">
            <v>996.15194950000011</v>
          </cell>
          <cell r="AB271">
            <v>1000.7783635</v>
          </cell>
          <cell r="AC271">
            <v>1027.9536030000002</v>
          </cell>
          <cell r="AD271">
            <v>1101.8081735000001</v>
          </cell>
          <cell r="AE271">
            <v>1211.4087119999999</v>
          </cell>
          <cell r="AF271">
            <v>1148.993687366418</v>
          </cell>
          <cell r="AG271">
            <v>948.10743094999998</v>
          </cell>
          <cell r="AH271">
            <v>959.15089769625445</v>
          </cell>
          <cell r="AI271">
            <v>739.43539999999996</v>
          </cell>
          <cell r="AJ271">
            <v>826.95389999999998</v>
          </cell>
          <cell r="AK271">
            <v>797.06400000000008</v>
          </cell>
          <cell r="AL271">
            <v>898.85833866900009</v>
          </cell>
          <cell r="AM271">
            <v>667.54110000000003</v>
          </cell>
          <cell r="AN271">
            <v>2088</v>
          </cell>
          <cell r="AO271">
            <v>2045</v>
          </cell>
          <cell r="AP271">
            <v>1869</v>
          </cell>
          <cell r="AQ271">
            <v>1612</v>
          </cell>
          <cell r="AR271">
            <v>1353</v>
          </cell>
          <cell r="AS271">
            <v>1409</v>
          </cell>
          <cell r="AT271">
            <v>942</v>
          </cell>
          <cell r="AU271">
            <v>879</v>
          </cell>
          <cell r="AV271">
            <v>794</v>
          </cell>
          <cell r="AW271">
            <v>652</v>
          </cell>
          <cell r="AX271">
            <v>530</v>
          </cell>
          <cell r="AY271">
            <v>485</v>
          </cell>
          <cell r="AZ271">
            <v>436</v>
          </cell>
          <cell r="BA271">
            <v>417</v>
          </cell>
          <cell r="BB271">
            <v>224</v>
          </cell>
        </row>
        <row r="272">
          <cell r="D272" t="str">
            <v>eo2-6</v>
          </cell>
          <cell r="H272">
            <v>20403</v>
          </cell>
          <cell r="I272">
            <v>18106</v>
          </cell>
          <cell r="J272">
            <v>19585</v>
          </cell>
          <cell r="K272">
            <v>20247</v>
          </cell>
          <cell r="L272">
            <v>18417</v>
          </cell>
          <cell r="M272">
            <v>17249</v>
          </cell>
          <cell r="N272">
            <v>17561</v>
          </cell>
          <cell r="O272">
            <v>16003</v>
          </cell>
          <cell r="P272">
            <v>14446</v>
          </cell>
          <cell r="Q272">
            <v>12148</v>
          </cell>
          <cell r="Y272">
            <v>836.54496959999983</v>
          </cell>
          <cell r="Z272">
            <v>733.5018902999999</v>
          </cell>
          <cell r="AA272">
            <v>603.95985599999995</v>
          </cell>
          <cell r="AB272">
            <v>663.78898703200491</v>
          </cell>
          <cell r="AC272">
            <v>734.96203679999996</v>
          </cell>
          <cell r="AD272">
            <v>607.00993979999998</v>
          </cell>
          <cell r="AE272">
            <v>702.80636609999999</v>
          </cell>
          <cell r="AF272">
            <v>807.28796009999985</v>
          </cell>
          <cell r="AG272">
            <v>624.38784632999989</v>
          </cell>
          <cell r="AH272">
            <v>497.18999303532405</v>
          </cell>
          <cell r="AI272">
            <v>313.66109999999998</v>
          </cell>
          <cell r="AJ272">
            <v>508.38720000000001</v>
          </cell>
          <cell r="AK272">
            <v>550.75279999999998</v>
          </cell>
          <cell r="AL272">
            <v>490.4257447</v>
          </cell>
          <cell r="AM272">
            <v>285.74099999999999</v>
          </cell>
          <cell r="AN272">
            <v>1097</v>
          </cell>
          <cell r="AO272">
            <v>1104</v>
          </cell>
          <cell r="AP272">
            <v>901</v>
          </cell>
          <cell r="AQ272">
            <v>514</v>
          </cell>
          <cell r="AR272">
            <v>386</v>
          </cell>
          <cell r="AS272">
            <v>389</v>
          </cell>
          <cell r="AT272">
            <v>123</v>
          </cell>
          <cell r="AU272">
            <v>185</v>
          </cell>
          <cell r="AV272">
            <v>128</v>
          </cell>
          <cell r="AW272">
            <v>91</v>
          </cell>
          <cell r="AX272">
            <v>56</v>
          </cell>
          <cell r="AY272">
            <v>60</v>
          </cell>
          <cell r="AZ272">
            <v>74</v>
          </cell>
          <cell r="BA272">
            <v>33</v>
          </cell>
          <cell r="BB272">
            <v>225</v>
          </cell>
        </row>
        <row r="273">
          <cell r="D273" t="str">
            <v>övriga petroleumprodukter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21.407766789362423</v>
          </cell>
          <cell r="AE273">
            <v>0</v>
          </cell>
          <cell r="AF273">
            <v>0.11896608086933975</v>
          </cell>
          <cell r="AG273">
            <v>25.898999999999997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158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226</v>
          </cell>
        </row>
        <row r="274">
          <cell r="D274" t="str">
            <v>naturgas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Y274">
            <v>434.43000000000006</v>
          </cell>
          <cell r="Z274">
            <v>302.77800000000002</v>
          </cell>
          <cell r="AA274">
            <v>280.17360000000002</v>
          </cell>
          <cell r="AB274">
            <v>219.92472000000004</v>
          </cell>
          <cell r="AC274">
            <v>226.34963999999999</v>
          </cell>
          <cell r="AD274">
            <v>270.84780000000001</v>
          </cell>
          <cell r="AE274">
            <v>297.31536000000006</v>
          </cell>
          <cell r="AF274">
            <v>310.00706012903225</v>
          </cell>
          <cell r="AG274">
            <v>395.48638800000003</v>
          </cell>
          <cell r="AH274">
            <v>500.40963753896108</v>
          </cell>
          <cell r="AI274">
            <v>238.14000000000001</v>
          </cell>
          <cell r="AJ274">
            <v>219.78</v>
          </cell>
          <cell r="AK274">
            <v>198</v>
          </cell>
          <cell r="AL274">
            <v>286.92898424999998</v>
          </cell>
          <cell r="AM274">
            <v>375.61500000000001</v>
          </cell>
          <cell r="AN274">
            <v>1217</v>
          </cell>
          <cell r="AO274">
            <v>1058</v>
          </cell>
          <cell r="AP274">
            <v>907</v>
          </cell>
          <cell r="AQ274">
            <v>933</v>
          </cell>
          <cell r="AR274">
            <v>845</v>
          </cell>
          <cell r="AS274">
            <v>832</v>
          </cell>
          <cell r="AT274">
            <v>817</v>
          </cell>
          <cell r="AU274">
            <v>887</v>
          </cell>
          <cell r="AV274">
            <v>904</v>
          </cell>
          <cell r="AW274">
            <v>849</v>
          </cell>
          <cell r="AX274">
            <v>911</v>
          </cell>
          <cell r="AY274">
            <v>1004</v>
          </cell>
          <cell r="AZ274">
            <v>1033</v>
          </cell>
          <cell r="BA274">
            <v>789</v>
          </cell>
          <cell r="BB274">
            <v>227</v>
          </cell>
        </row>
        <row r="275">
          <cell r="D275" t="str">
            <v>stadsgas</v>
          </cell>
          <cell r="H275">
            <v>184</v>
          </cell>
          <cell r="I275">
            <v>0</v>
          </cell>
          <cell r="J275">
            <v>100</v>
          </cell>
          <cell r="K275">
            <v>149</v>
          </cell>
          <cell r="L275">
            <v>134</v>
          </cell>
          <cell r="M275">
            <v>134</v>
          </cell>
          <cell r="N275">
            <v>151</v>
          </cell>
          <cell r="O275">
            <v>134</v>
          </cell>
          <cell r="P275">
            <v>84</v>
          </cell>
          <cell r="Q275">
            <v>67</v>
          </cell>
          <cell r="Y275">
            <v>18.380051999999999</v>
          </cell>
          <cell r="Z275">
            <v>5.712656</v>
          </cell>
          <cell r="AA275">
            <v>5.1311559999999998</v>
          </cell>
          <cell r="AB275">
            <v>4.4933093337204237</v>
          </cell>
          <cell r="AC275">
            <v>7.8000689368079259</v>
          </cell>
          <cell r="AD275">
            <v>4.7543440000000006</v>
          </cell>
          <cell r="AE275">
            <v>3.9960680000000002</v>
          </cell>
          <cell r="AF275">
            <v>4.4343981981038176</v>
          </cell>
          <cell r="AG275">
            <v>1.974774</v>
          </cell>
          <cell r="AH275">
            <v>1.8021847999999998</v>
          </cell>
          <cell r="AI275">
            <v>1.3956</v>
          </cell>
          <cell r="AJ275">
            <v>0</v>
          </cell>
          <cell r="AK275">
            <v>4.6520000000000001</v>
          </cell>
          <cell r="AL275">
            <v>14.111051160000002</v>
          </cell>
          <cell r="AM275">
            <v>18.608000000000001</v>
          </cell>
          <cell r="AN275">
            <v>86</v>
          </cell>
          <cell r="AO275">
            <v>87</v>
          </cell>
          <cell r="AP275">
            <v>84</v>
          </cell>
          <cell r="AQ275">
            <v>12</v>
          </cell>
          <cell r="AR275">
            <v>2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228</v>
          </cell>
        </row>
        <row r="276">
          <cell r="D276" t="str">
            <v>masugnsgas m.m.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60.475999999999999</v>
          </cell>
          <cell r="AK276">
            <v>0</v>
          </cell>
          <cell r="AL276">
            <v>0</v>
          </cell>
          <cell r="AM276">
            <v>0</v>
          </cell>
          <cell r="AN276">
            <v>180</v>
          </cell>
          <cell r="AO276">
            <v>108</v>
          </cell>
          <cell r="AP276">
            <v>193</v>
          </cell>
          <cell r="AQ276">
            <v>151</v>
          </cell>
          <cell r="AR276">
            <v>55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229</v>
          </cell>
        </row>
        <row r="277">
          <cell r="D277" t="str">
            <v>övriga bränslen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0.98855000000000015</v>
          </cell>
          <cell r="AC277">
            <v>0.86062000000000005</v>
          </cell>
          <cell r="AD277">
            <v>1.5119000000000002</v>
          </cell>
          <cell r="AE277">
            <v>0</v>
          </cell>
          <cell r="AF277">
            <v>0</v>
          </cell>
          <cell r="AG277">
            <v>39.025628000000005</v>
          </cell>
          <cell r="AH277">
            <v>86.430291965587045</v>
          </cell>
          <cell r="AI277">
            <v>23.26</v>
          </cell>
          <cell r="AJ277">
            <v>21.380975790000001</v>
          </cell>
          <cell r="AK277">
            <v>19.465247300000005</v>
          </cell>
          <cell r="AL277">
            <v>85.472010100000006</v>
          </cell>
          <cell r="AM277">
            <v>8.9202100000000009</v>
          </cell>
          <cell r="AN277">
            <v>67</v>
          </cell>
          <cell r="AO277">
            <v>159</v>
          </cell>
          <cell r="AP277">
            <v>153</v>
          </cell>
          <cell r="AQ277">
            <v>166</v>
          </cell>
          <cell r="AR277">
            <v>126</v>
          </cell>
          <cell r="AS277">
            <v>130</v>
          </cell>
          <cell r="AT277">
            <v>163</v>
          </cell>
          <cell r="AU277">
            <v>192</v>
          </cell>
          <cell r="AV277">
            <v>153</v>
          </cell>
          <cell r="AW277">
            <v>410</v>
          </cell>
          <cell r="AX277">
            <v>234</v>
          </cell>
          <cell r="AY277">
            <v>85</v>
          </cell>
          <cell r="AZ277">
            <v>121</v>
          </cell>
          <cell r="BA277">
            <v>23</v>
          </cell>
          <cell r="BB277">
            <v>230</v>
          </cell>
        </row>
        <row r="278">
          <cell r="D278" t="str">
            <v>fjärrvärme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Y278">
            <v>1033.4580000000001</v>
          </cell>
          <cell r="Z278">
            <v>1028.4570000000001</v>
          </cell>
          <cell r="AA278">
            <v>1044</v>
          </cell>
          <cell r="AB278">
            <v>1225.5999999999999</v>
          </cell>
          <cell r="AC278">
            <v>1203.549382056792</v>
          </cell>
          <cell r="AD278">
            <v>1260.6877133485632</v>
          </cell>
          <cell r="AE278">
            <v>1617.150312228041</v>
          </cell>
          <cell r="AF278">
            <v>1564.3512682556147</v>
          </cell>
          <cell r="AG278">
            <v>1333.1248000000001</v>
          </cell>
          <cell r="AH278">
            <v>1302.7152995263682</v>
          </cell>
          <cell r="AI278">
            <v>1267.0884160551873</v>
          </cell>
          <cell r="AJ278">
            <v>1270.3815761394965</v>
          </cell>
          <cell r="AK278">
            <v>1292.2357721544074</v>
          </cell>
          <cell r="AL278">
            <v>1258</v>
          </cell>
          <cell r="AM278">
            <v>1099</v>
          </cell>
          <cell r="AN278">
            <v>4658</v>
          </cell>
          <cell r="AO278">
            <v>5261</v>
          </cell>
          <cell r="AP278">
            <v>5176</v>
          </cell>
          <cell r="AQ278">
            <v>4911</v>
          </cell>
          <cell r="AR278">
            <v>5169</v>
          </cell>
          <cell r="AS278">
            <v>6126</v>
          </cell>
          <cell r="AT278">
            <v>4756</v>
          </cell>
          <cell r="AU278">
            <v>5220</v>
          </cell>
          <cell r="AV278">
            <v>5128</v>
          </cell>
          <cell r="AW278">
            <v>4733</v>
          </cell>
          <cell r="AX278">
            <v>4628</v>
          </cell>
          <cell r="AY278">
            <v>4537</v>
          </cell>
          <cell r="AZ278">
            <v>4117</v>
          </cell>
          <cell r="BA278">
            <v>4627</v>
          </cell>
          <cell r="BB278">
            <v>231</v>
          </cell>
        </row>
        <row r="279">
          <cell r="D279" t="str">
            <v>el</v>
          </cell>
          <cell r="H279">
            <v>14774</v>
          </cell>
          <cell r="I279">
            <v>14548</v>
          </cell>
          <cell r="J279">
            <v>15520</v>
          </cell>
          <cell r="K279">
            <v>16528</v>
          </cell>
          <cell r="L279">
            <v>16034</v>
          </cell>
          <cell r="M279">
            <v>16232</v>
          </cell>
          <cell r="N279">
            <v>16978</v>
          </cell>
          <cell r="O279">
            <v>17633</v>
          </cell>
          <cell r="P279">
            <v>17975</v>
          </cell>
          <cell r="Q279">
            <v>18698</v>
          </cell>
          <cell r="Y279">
            <v>7318.6090000000004</v>
          </cell>
          <cell r="Z279">
            <v>6738.4539999999997</v>
          </cell>
          <cell r="AA279">
            <v>5992.4939999999997</v>
          </cell>
          <cell r="AB279">
            <v>5925.11</v>
          </cell>
          <cell r="AC279">
            <v>6297.56</v>
          </cell>
          <cell r="AD279">
            <v>6891.2659999999996</v>
          </cell>
          <cell r="AE279">
            <v>7184.7910000000002</v>
          </cell>
          <cell r="AF279">
            <v>7143.9540150856819</v>
          </cell>
          <cell r="AG279">
            <v>6752.5379063657301</v>
          </cell>
          <cell r="AH279">
            <v>7463.8725878748837</v>
          </cell>
          <cell r="AI279">
            <v>7465</v>
          </cell>
          <cell r="AJ279">
            <v>7701</v>
          </cell>
          <cell r="AK279">
            <v>7398</v>
          </cell>
          <cell r="AL279">
            <v>7066</v>
          </cell>
          <cell r="AM279">
            <v>6993</v>
          </cell>
          <cell r="AN279">
            <v>25001</v>
          </cell>
          <cell r="AO279">
            <v>25545</v>
          </cell>
          <cell r="AP279">
            <v>25322</v>
          </cell>
          <cell r="AQ279">
            <v>23247</v>
          </cell>
          <cell r="AR279">
            <v>19386</v>
          </cell>
          <cell r="AS279">
            <v>20363</v>
          </cell>
          <cell r="AT279">
            <v>20702</v>
          </cell>
          <cell r="AU279">
            <v>20081</v>
          </cell>
          <cell r="AV279">
            <v>19603</v>
          </cell>
          <cell r="AW279">
            <v>20206</v>
          </cell>
          <cell r="AX279">
            <v>19119</v>
          </cell>
          <cell r="AY279">
            <v>18768</v>
          </cell>
          <cell r="AZ279">
            <v>19102</v>
          </cell>
          <cell r="BA279">
            <v>19401</v>
          </cell>
          <cell r="BB279">
            <v>232</v>
          </cell>
        </row>
        <row r="280">
          <cell r="D280" t="str">
            <v>totalt</v>
          </cell>
          <cell r="Y280">
            <v>11904.607532900001</v>
          </cell>
          <cell r="Z280">
            <v>11002.8108204</v>
          </cell>
          <cell r="AA280">
            <v>10017.6303137</v>
          </cell>
          <cell r="AB280">
            <v>9993.1258036657237</v>
          </cell>
          <cell r="AC280">
            <v>10603.378280332105</v>
          </cell>
          <cell r="AD280">
            <v>11154.28472312956</v>
          </cell>
          <cell r="AE280">
            <v>11830.846355831856</v>
          </cell>
          <cell r="AF280">
            <v>11709.992847431686</v>
          </cell>
          <cell r="AG280">
            <v>11054.323194018709</v>
          </cell>
          <cell r="AH280">
            <v>11611.631126328844</v>
          </cell>
          <cell r="AI280">
            <v>10921.895016055187</v>
          </cell>
          <cell r="AJ280">
            <v>11430.009865086495</v>
          </cell>
          <cell r="AK280">
            <v>10991.818719454408</v>
          </cell>
          <cell r="AL280">
            <v>10711.659493268002</v>
          </cell>
          <cell r="AM280">
            <v>10127.755351016667</v>
          </cell>
          <cell r="AN280">
            <v>37250</v>
          </cell>
          <cell r="AO280">
            <v>37903</v>
          </cell>
          <cell r="AP280">
            <v>37222</v>
          </cell>
          <cell r="AQ280">
            <v>33997</v>
          </cell>
          <cell r="AR280">
            <v>29110</v>
          </cell>
          <cell r="AS280">
            <v>32008</v>
          </cell>
          <cell r="AT280">
            <v>29629</v>
          </cell>
          <cell r="AU280">
            <v>29478</v>
          </cell>
          <cell r="AV280">
            <v>28727</v>
          </cell>
          <cell r="AW280">
            <v>28863</v>
          </cell>
          <cell r="AX280">
            <v>27940</v>
          </cell>
          <cell r="AY280">
            <v>27144</v>
          </cell>
          <cell r="AZ280">
            <v>27226</v>
          </cell>
          <cell r="BA280">
            <v>28017</v>
          </cell>
          <cell r="BB280">
            <v>233</v>
          </cell>
        </row>
        <row r="282">
          <cell r="D282" t="str">
            <v>biobränsle</v>
          </cell>
          <cell r="H282">
            <v>23572</v>
          </cell>
          <cell r="I282">
            <v>23655</v>
          </cell>
          <cell r="J282">
            <v>22274</v>
          </cell>
          <cell r="K282">
            <v>33286</v>
          </cell>
          <cell r="L282">
            <v>15993</v>
          </cell>
          <cell r="M282">
            <v>15491</v>
          </cell>
          <cell r="N282">
            <v>16454</v>
          </cell>
          <cell r="O282">
            <v>17459</v>
          </cell>
          <cell r="P282">
            <v>14947</v>
          </cell>
          <cell r="Q282">
            <v>15156</v>
          </cell>
          <cell r="Y282">
            <v>553.1228000000001</v>
          </cell>
          <cell r="Z282">
            <v>441.94000000000005</v>
          </cell>
          <cell r="AA282">
            <v>534.98</v>
          </cell>
          <cell r="AB282">
            <v>459.05936000000003</v>
          </cell>
          <cell r="AC282">
            <v>430.31</v>
          </cell>
          <cell r="AD282">
            <v>383.79</v>
          </cell>
          <cell r="AE282">
            <v>183.92088274273442</v>
          </cell>
          <cell r="AF282">
            <v>192.38330921848586</v>
          </cell>
          <cell r="AG282">
            <v>215.84555000000003</v>
          </cell>
          <cell r="AH282">
            <v>245.76586258838387</v>
          </cell>
          <cell r="AI282">
            <v>265.16400000000004</v>
          </cell>
          <cell r="AJ282">
            <v>204.68224315000003</v>
          </cell>
          <cell r="AK282">
            <v>162.82</v>
          </cell>
          <cell r="AL282">
            <v>203.44835830000002</v>
          </cell>
          <cell r="AM282">
            <v>476.83000000000004</v>
          </cell>
          <cell r="AN282">
            <v>703</v>
          </cell>
          <cell r="AO282">
            <v>915</v>
          </cell>
          <cell r="AP282">
            <v>996</v>
          </cell>
          <cell r="AQ282">
            <v>512</v>
          </cell>
          <cell r="AR282">
            <v>435</v>
          </cell>
          <cell r="AS282">
            <v>465</v>
          </cell>
          <cell r="AT282">
            <v>327</v>
          </cell>
          <cell r="AU282">
            <v>397</v>
          </cell>
          <cell r="AV282">
            <v>383</v>
          </cell>
          <cell r="AW282">
            <v>580</v>
          </cell>
          <cell r="AX282">
            <v>355</v>
          </cell>
          <cell r="AY282">
            <v>474</v>
          </cell>
          <cell r="AZ282">
            <v>364</v>
          </cell>
          <cell r="BA282">
            <v>389</v>
          </cell>
          <cell r="BB282">
            <v>235</v>
          </cell>
        </row>
        <row r="283">
          <cell r="D283" t="str">
            <v>kol</v>
          </cell>
          <cell r="H283">
            <v>4980</v>
          </cell>
          <cell r="I283">
            <v>4245</v>
          </cell>
          <cell r="J283">
            <v>3864</v>
          </cell>
          <cell r="K283">
            <v>4817</v>
          </cell>
          <cell r="L283">
            <v>5633</v>
          </cell>
          <cell r="M283">
            <v>6831</v>
          </cell>
          <cell r="N283">
            <v>7484</v>
          </cell>
          <cell r="O283">
            <v>7185</v>
          </cell>
          <cell r="P283">
            <v>6450</v>
          </cell>
          <cell r="Q283">
            <v>8246</v>
          </cell>
          <cell r="Y283">
            <v>3.4017749999999998</v>
          </cell>
          <cell r="Z283">
            <v>0.88446150000000001</v>
          </cell>
          <cell r="AA283">
            <v>0</v>
          </cell>
          <cell r="AB283">
            <v>9.82735E-2</v>
          </cell>
          <cell r="AC283">
            <v>3.7495119999999997</v>
          </cell>
          <cell r="AD283">
            <v>2.1695764999999998</v>
          </cell>
          <cell r="AE283">
            <v>1.48977191197689</v>
          </cell>
          <cell r="AF283">
            <v>0</v>
          </cell>
          <cell r="AG283">
            <v>7.5594999999999999</v>
          </cell>
          <cell r="AH283">
            <v>0</v>
          </cell>
          <cell r="AI283">
            <v>0.75595000000000001</v>
          </cell>
          <cell r="AJ283">
            <v>2.2678499999999997</v>
          </cell>
          <cell r="AK283">
            <v>7.5594999999999999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236</v>
          </cell>
        </row>
        <row r="284">
          <cell r="D284" t="str">
            <v>koks</v>
          </cell>
          <cell r="H284">
            <v>6031</v>
          </cell>
          <cell r="I284">
            <v>4628</v>
          </cell>
          <cell r="J284">
            <v>4292</v>
          </cell>
          <cell r="K284">
            <v>4039</v>
          </cell>
          <cell r="L284">
            <v>3955</v>
          </cell>
          <cell r="M284">
            <v>3731</v>
          </cell>
          <cell r="N284">
            <v>3478</v>
          </cell>
          <cell r="O284">
            <v>3563</v>
          </cell>
          <cell r="P284">
            <v>1795</v>
          </cell>
          <cell r="Q284">
            <v>2945</v>
          </cell>
          <cell r="Y284">
            <v>37.464416799999995</v>
          </cell>
          <cell r="Z284">
            <v>182.4753978</v>
          </cell>
          <cell r="AA284">
            <v>257.59903389999999</v>
          </cell>
          <cell r="AB284">
            <v>306.61134289999995</v>
          </cell>
          <cell r="AC284">
            <v>292.77738669668162</v>
          </cell>
          <cell r="AD284">
            <v>305.04174913777621</v>
          </cell>
          <cell r="AE284">
            <v>85.713099999999997</v>
          </cell>
          <cell r="AF284">
            <v>93.505200000000002</v>
          </cell>
          <cell r="AG284">
            <v>85.713099999999997</v>
          </cell>
          <cell r="AH284">
            <v>77.920999999999992</v>
          </cell>
          <cell r="AI284">
            <v>105.19335</v>
          </cell>
          <cell r="AJ284">
            <v>85.713099999999997</v>
          </cell>
          <cell r="AK284">
            <v>77.920999999999992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  <cell r="BA284">
            <v>0</v>
          </cell>
          <cell r="BB284">
            <v>237</v>
          </cell>
        </row>
        <row r="285">
          <cell r="D285" t="str">
            <v>gasol</v>
          </cell>
          <cell r="H285">
            <v>1842</v>
          </cell>
          <cell r="I285">
            <v>1382</v>
          </cell>
          <cell r="J285">
            <v>1658</v>
          </cell>
          <cell r="K285">
            <v>1565</v>
          </cell>
          <cell r="L285">
            <v>1566</v>
          </cell>
          <cell r="M285">
            <v>1750</v>
          </cell>
          <cell r="N285">
            <v>1888</v>
          </cell>
          <cell r="O285">
            <v>1796</v>
          </cell>
          <cell r="P285">
            <v>1474</v>
          </cell>
          <cell r="Q285">
            <v>1658</v>
          </cell>
          <cell r="Y285">
            <v>4.1193782000000008</v>
          </cell>
          <cell r="Z285">
            <v>35.167957000000001</v>
          </cell>
          <cell r="AA285">
            <v>2.8912179999999998</v>
          </cell>
          <cell r="AB285">
            <v>8.7248260000000002</v>
          </cell>
          <cell r="AC285">
            <v>179.409032</v>
          </cell>
          <cell r="AD285">
            <v>245.71871714086228</v>
          </cell>
          <cell r="AE285">
            <v>208.29562599999997</v>
          </cell>
          <cell r="AF285">
            <v>183.10620900000001</v>
          </cell>
          <cell r="AG285">
            <v>1056.3013791000001</v>
          </cell>
          <cell r="AH285">
            <v>1042.4586281633335</v>
          </cell>
          <cell r="AI285">
            <v>175.26409999999998</v>
          </cell>
          <cell r="AJ285">
            <v>153.51599999999999</v>
          </cell>
          <cell r="AK285">
            <v>12.793100000000001</v>
          </cell>
          <cell r="AL285">
            <v>13.387211564000001</v>
          </cell>
          <cell r="AM285">
            <v>16.439133500000001</v>
          </cell>
          <cell r="AN285">
            <v>54</v>
          </cell>
          <cell r="AO285">
            <v>52</v>
          </cell>
          <cell r="AP285">
            <v>69</v>
          </cell>
          <cell r="AQ285">
            <v>58</v>
          </cell>
          <cell r="AR285">
            <v>53</v>
          </cell>
          <cell r="AS285">
            <v>63</v>
          </cell>
          <cell r="AT285">
            <v>66</v>
          </cell>
          <cell r="AU285">
            <v>69</v>
          </cell>
          <cell r="AV285">
            <v>61</v>
          </cell>
          <cell r="AW285">
            <v>60</v>
          </cell>
          <cell r="AX285">
            <v>53</v>
          </cell>
          <cell r="AY285">
            <v>46</v>
          </cell>
          <cell r="AZ285">
            <v>44</v>
          </cell>
          <cell r="BA285">
            <v>37</v>
          </cell>
          <cell r="BB285">
            <v>238</v>
          </cell>
        </row>
        <row r="286">
          <cell r="D286" t="str">
            <v>bensin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Y286">
            <v>8.7225000000000001</v>
          </cell>
          <cell r="Z286">
            <v>8.7225000000000001</v>
          </cell>
          <cell r="AA286">
            <v>8.7225000000000001</v>
          </cell>
          <cell r="AB286">
            <v>8.7225000000000001</v>
          </cell>
          <cell r="AC286">
            <v>43.612499999999997</v>
          </cell>
          <cell r="AD286">
            <v>34.89</v>
          </cell>
          <cell r="AE286">
            <v>8.7225000000000001</v>
          </cell>
          <cell r="AF286">
            <v>8.7225000000000001</v>
          </cell>
          <cell r="AG286">
            <v>8.7225000000000001</v>
          </cell>
          <cell r="AH286">
            <v>8.7225000000000001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1</v>
          </cell>
          <cell r="AS286">
            <v>2</v>
          </cell>
          <cell r="AT286">
            <v>1</v>
          </cell>
          <cell r="AU286">
            <v>1</v>
          </cell>
          <cell r="AV286">
            <v>1</v>
          </cell>
          <cell r="AW286">
            <v>0</v>
          </cell>
          <cell r="AX286">
            <v>1</v>
          </cell>
          <cell r="AY286">
            <v>4</v>
          </cell>
          <cell r="AZ286">
            <v>4</v>
          </cell>
          <cell r="BA286">
            <v>2</v>
          </cell>
          <cell r="BB286">
            <v>239</v>
          </cell>
        </row>
        <row r="287">
          <cell r="D287" t="str">
            <v>lättoljor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Y287">
            <v>129.16666666666666</v>
          </cell>
          <cell r="Z287">
            <v>92.777777777777786</v>
          </cell>
          <cell r="AA287">
            <v>83.611111111111114</v>
          </cell>
          <cell r="AB287">
            <v>86.111111111111114</v>
          </cell>
          <cell r="AC287">
            <v>86.111111111111114</v>
          </cell>
          <cell r="AD287">
            <v>86.111111111111114</v>
          </cell>
          <cell r="AE287">
            <v>86.111111111111114</v>
          </cell>
          <cell r="AF287">
            <v>71.666666666666671</v>
          </cell>
          <cell r="AG287">
            <v>57.222222222222221</v>
          </cell>
          <cell r="AH287">
            <v>57.499999999999993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240</v>
          </cell>
        </row>
        <row r="288">
          <cell r="D288" t="str">
            <v>diesel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Y288">
            <v>1.008321</v>
          </cell>
          <cell r="Z288">
            <v>0.52393149999999999</v>
          </cell>
          <cell r="AA288">
            <v>0.257023</v>
          </cell>
          <cell r="AB288">
            <v>0.41519100000000003</v>
          </cell>
          <cell r="AC288">
            <v>7.9084000000000002E-2</v>
          </cell>
          <cell r="AD288">
            <v>0.58324449999999994</v>
          </cell>
          <cell r="AE288">
            <v>2.9162224999999999</v>
          </cell>
          <cell r="AF288">
            <v>0.49200790475261053</v>
          </cell>
          <cell r="AG288">
            <v>2.5912960942882903</v>
          </cell>
          <cell r="AH288">
            <v>3.5750725737557896</v>
          </cell>
          <cell r="AI288">
            <v>7.9084000000000003</v>
          </cell>
          <cell r="AJ288">
            <v>0</v>
          </cell>
          <cell r="AK288">
            <v>9.9633000000000003</v>
          </cell>
          <cell r="AL288">
            <v>2.170305639</v>
          </cell>
          <cell r="AM288">
            <v>7.3429520999999998</v>
          </cell>
          <cell r="AN288">
            <v>28</v>
          </cell>
          <cell r="AO288">
            <v>25</v>
          </cell>
          <cell r="AP288">
            <v>23</v>
          </cell>
          <cell r="AQ288">
            <v>14</v>
          </cell>
          <cell r="AR288">
            <v>14</v>
          </cell>
          <cell r="AS288">
            <v>19</v>
          </cell>
          <cell r="AT288">
            <v>9</v>
          </cell>
          <cell r="AU288">
            <v>8</v>
          </cell>
          <cell r="AV288">
            <v>9</v>
          </cell>
          <cell r="AW288">
            <v>10</v>
          </cell>
          <cell r="AX288">
            <v>20</v>
          </cell>
          <cell r="AY288">
            <v>51</v>
          </cell>
          <cell r="AZ288">
            <v>53</v>
          </cell>
          <cell r="BA288">
            <v>37</v>
          </cell>
          <cell r="BB288">
            <v>241</v>
          </cell>
        </row>
        <row r="289">
          <cell r="D289" t="str">
            <v>eo1</v>
          </cell>
          <cell r="H289">
            <v>10712</v>
          </cell>
          <cell r="I289">
            <v>9217</v>
          </cell>
          <cell r="J289">
            <v>9075</v>
          </cell>
          <cell r="K289">
            <v>10463</v>
          </cell>
          <cell r="L289">
            <v>10463</v>
          </cell>
          <cell r="M289">
            <v>10498</v>
          </cell>
          <cell r="N289">
            <v>9893</v>
          </cell>
          <cell r="O289">
            <v>9004</v>
          </cell>
          <cell r="P289">
            <v>6868</v>
          </cell>
          <cell r="Q289">
            <v>6050</v>
          </cell>
          <cell r="Y289">
            <v>881.46037849999993</v>
          </cell>
          <cell r="Z289">
            <v>111.627066</v>
          </cell>
          <cell r="AA289">
            <v>108.90855350000001</v>
          </cell>
          <cell r="AB289">
            <v>97.579770499999995</v>
          </cell>
          <cell r="AC289">
            <v>97.204121499999999</v>
          </cell>
          <cell r="AD289">
            <v>307.54779050000002</v>
          </cell>
          <cell r="AE289">
            <v>109.8971035</v>
          </cell>
          <cell r="AF289">
            <v>117.7659615</v>
          </cell>
          <cell r="AG289">
            <v>70.411450849999994</v>
          </cell>
          <cell r="AH289">
            <v>85.242926618459606</v>
          </cell>
          <cell r="AI289">
            <v>93.91225</v>
          </cell>
          <cell r="AJ289">
            <v>89.669700000000006</v>
          </cell>
          <cell r="AK289">
            <v>69.743099999999998</v>
          </cell>
          <cell r="AL289">
            <v>61.596308856</v>
          </cell>
          <cell r="AM289">
            <v>49.816500000000005</v>
          </cell>
          <cell r="AN289">
            <v>214</v>
          </cell>
          <cell r="AO289">
            <v>178</v>
          </cell>
          <cell r="AP289">
            <v>171</v>
          </cell>
          <cell r="AQ289">
            <v>155</v>
          </cell>
          <cell r="AR289">
            <v>107</v>
          </cell>
          <cell r="AS289">
            <v>139</v>
          </cell>
          <cell r="AT289">
            <v>118</v>
          </cell>
          <cell r="AU289">
            <v>112</v>
          </cell>
          <cell r="AV289">
            <v>121</v>
          </cell>
          <cell r="AW289">
            <v>97</v>
          </cell>
          <cell r="AX289">
            <v>91</v>
          </cell>
          <cell r="AY289">
            <v>49</v>
          </cell>
          <cell r="AZ289">
            <v>47</v>
          </cell>
          <cell r="BA289">
            <v>36</v>
          </cell>
          <cell r="BB289">
            <v>242</v>
          </cell>
        </row>
        <row r="290">
          <cell r="D290" t="str">
            <v>eo2-6</v>
          </cell>
          <cell r="H290">
            <v>64830</v>
          </cell>
          <cell r="I290">
            <v>63234</v>
          </cell>
          <cell r="J290">
            <v>61404</v>
          </cell>
          <cell r="K290">
            <v>58874</v>
          </cell>
          <cell r="L290">
            <v>53967</v>
          </cell>
          <cell r="M290">
            <v>47426</v>
          </cell>
          <cell r="N290">
            <v>47464</v>
          </cell>
          <cell r="O290">
            <v>46141</v>
          </cell>
          <cell r="P290">
            <v>39950</v>
          </cell>
          <cell r="Q290">
            <v>33058</v>
          </cell>
          <cell r="Y290">
            <v>83.67180239999999</v>
          </cell>
          <cell r="Z290">
            <v>78.826279199999988</v>
          </cell>
          <cell r="AA290">
            <v>39.478034999999998</v>
          </cell>
          <cell r="AB290">
            <v>25.270350525509755</v>
          </cell>
          <cell r="AC290">
            <v>90.258685499999999</v>
          </cell>
          <cell r="AD290">
            <v>52.359771899999998</v>
          </cell>
          <cell r="AE290">
            <v>38.980503599999999</v>
          </cell>
          <cell r="AF290">
            <v>622.73723183099992</v>
          </cell>
          <cell r="AG290">
            <v>1035.3877199699998</v>
          </cell>
          <cell r="AH290">
            <v>925.67672681372721</v>
          </cell>
          <cell r="AI290">
            <v>20.550209999999996</v>
          </cell>
          <cell r="AJ290">
            <v>21.1828</v>
          </cell>
          <cell r="AK290">
            <v>10.5914</v>
          </cell>
          <cell r="AL290">
            <v>12.092876609999999</v>
          </cell>
          <cell r="AM290">
            <v>21.166</v>
          </cell>
          <cell r="AN290">
            <v>61</v>
          </cell>
          <cell r="AO290">
            <v>73</v>
          </cell>
          <cell r="AP290">
            <v>96</v>
          </cell>
          <cell r="AQ290">
            <v>110</v>
          </cell>
          <cell r="AR290">
            <v>50</v>
          </cell>
          <cell r="AS290">
            <v>57</v>
          </cell>
          <cell r="AT290">
            <v>45</v>
          </cell>
          <cell r="AU290">
            <v>42</v>
          </cell>
          <cell r="AV290">
            <v>35</v>
          </cell>
          <cell r="AW290">
            <v>24</v>
          </cell>
          <cell r="AX290">
            <v>5</v>
          </cell>
          <cell r="AY290">
            <v>3</v>
          </cell>
          <cell r="AZ290">
            <v>4</v>
          </cell>
          <cell r="BA290">
            <v>2</v>
          </cell>
          <cell r="BB290">
            <v>243</v>
          </cell>
        </row>
        <row r="291">
          <cell r="D291" t="str">
            <v>övriga petroleumprodukter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Y291">
            <v>48.5</v>
          </cell>
          <cell r="Z291">
            <v>38.799999999999997</v>
          </cell>
          <cell r="AA291">
            <v>630.5</v>
          </cell>
          <cell r="AB291">
            <v>0</v>
          </cell>
          <cell r="AC291">
            <v>0</v>
          </cell>
          <cell r="AD291">
            <v>0.16059840052034827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244</v>
          </cell>
        </row>
        <row r="292">
          <cell r="D292" t="str">
            <v>naturgas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Y292">
            <v>44.236800000000002</v>
          </cell>
          <cell r="Z292">
            <v>90.514800000000008</v>
          </cell>
          <cell r="AA292">
            <v>227.988</v>
          </cell>
          <cell r="AB292">
            <v>0.79704000000000008</v>
          </cell>
          <cell r="AC292">
            <v>0.57347999999999999</v>
          </cell>
          <cell r="AD292">
            <v>10.332360000000001</v>
          </cell>
          <cell r="AE292">
            <v>0.55404000000000009</v>
          </cell>
          <cell r="AF292">
            <v>0</v>
          </cell>
          <cell r="AG292">
            <v>0.41796</v>
          </cell>
          <cell r="AH292">
            <v>12.588371999999964</v>
          </cell>
          <cell r="AI292">
            <v>2.9160000000000004</v>
          </cell>
          <cell r="AJ292">
            <v>19.98</v>
          </cell>
          <cell r="AK292">
            <v>49.5</v>
          </cell>
          <cell r="AL292">
            <v>4.9238707499999999</v>
          </cell>
          <cell r="AM292">
            <v>11.047499999999999</v>
          </cell>
          <cell r="AN292">
            <v>8</v>
          </cell>
          <cell r="AO292">
            <v>26</v>
          </cell>
          <cell r="AP292">
            <v>31</v>
          </cell>
          <cell r="AQ292">
            <v>72</v>
          </cell>
          <cell r="AR292">
            <v>80</v>
          </cell>
          <cell r="AS292">
            <v>126</v>
          </cell>
          <cell r="AT292">
            <v>81</v>
          </cell>
          <cell r="AU292">
            <v>67</v>
          </cell>
          <cell r="AV292">
            <v>83</v>
          </cell>
          <cell r="AW292">
            <v>111</v>
          </cell>
          <cell r="AX292">
            <v>73</v>
          </cell>
          <cell r="AY292">
            <v>58</v>
          </cell>
          <cell r="AZ292">
            <v>49</v>
          </cell>
          <cell r="BA292">
            <v>24</v>
          </cell>
          <cell r="BB292">
            <v>245</v>
          </cell>
        </row>
        <row r="293">
          <cell r="D293" t="str">
            <v>stadsgas</v>
          </cell>
          <cell r="H293">
            <v>268</v>
          </cell>
          <cell r="I293">
            <v>469</v>
          </cell>
          <cell r="J293">
            <v>368</v>
          </cell>
          <cell r="K293">
            <v>335</v>
          </cell>
          <cell r="L293">
            <v>301</v>
          </cell>
          <cell r="M293">
            <v>235</v>
          </cell>
          <cell r="N293">
            <v>284</v>
          </cell>
          <cell r="O293">
            <v>251</v>
          </cell>
          <cell r="P293">
            <v>301</v>
          </cell>
          <cell r="Q293">
            <v>452</v>
          </cell>
          <cell r="Y293">
            <v>0</v>
          </cell>
          <cell r="Z293">
            <v>9.3040000000000003</v>
          </cell>
          <cell r="AA293">
            <v>21.064256</v>
          </cell>
          <cell r="AB293">
            <v>37.228155029757588</v>
          </cell>
          <cell r="AC293">
            <v>55.836200316376654</v>
          </cell>
          <cell r="AD293">
            <v>37.216000000000001</v>
          </cell>
          <cell r="AE293">
            <v>46.524652000000003</v>
          </cell>
          <cell r="AF293">
            <v>13.320739196480018</v>
          </cell>
          <cell r="AG293">
            <v>0</v>
          </cell>
          <cell r="AH293">
            <v>46.52</v>
          </cell>
          <cell r="AI293">
            <v>13.956</v>
          </cell>
          <cell r="AJ293">
            <v>27.911999999999999</v>
          </cell>
          <cell r="AK293">
            <v>9.3040000000000003</v>
          </cell>
          <cell r="AL293">
            <v>9.3040000000000003</v>
          </cell>
          <cell r="AM293">
            <v>9.3040000000000003</v>
          </cell>
          <cell r="AN293">
            <v>0</v>
          </cell>
          <cell r="AO293">
            <v>0</v>
          </cell>
          <cell r="AP293">
            <v>0</v>
          </cell>
          <cell r="AQ293">
            <v>10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246</v>
          </cell>
        </row>
        <row r="294">
          <cell r="D294" t="str">
            <v>masugnsgas m.m.</v>
          </cell>
          <cell r="H294">
            <v>459</v>
          </cell>
          <cell r="I294">
            <v>445</v>
          </cell>
          <cell r="J294">
            <v>409</v>
          </cell>
          <cell r="K294">
            <v>519</v>
          </cell>
          <cell r="L294">
            <v>431</v>
          </cell>
          <cell r="M294">
            <v>363</v>
          </cell>
          <cell r="N294">
            <v>288</v>
          </cell>
          <cell r="O294">
            <v>177</v>
          </cell>
          <cell r="P294">
            <v>13</v>
          </cell>
          <cell r="Q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247</v>
          </cell>
        </row>
        <row r="295">
          <cell r="D295" t="str">
            <v>övriga bränslen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2.3260000000000001</v>
          </cell>
          <cell r="AC295">
            <v>48.520360000000004</v>
          </cell>
          <cell r="AD295">
            <v>3.6053000000000002</v>
          </cell>
          <cell r="AE295">
            <v>11.63</v>
          </cell>
          <cell r="AF295">
            <v>81.410000000000011</v>
          </cell>
          <cell r="AG295">
            <v>74.760442830000002</v>
          </cell>
          <cell r="AH295">
            <v>112.00953440909092</v>
          </cell>
          <cell r="AI295">
            <v>1.163</v>
          </cell>
          <cell r="AJ295">
            <v>0.77474407999999995</v>
          </cell>
          <cell r="AK295">
            <v>2.4393924999999999</v>
          </cell>
          <cell r="AL295">
            <v>1.0758913000000001</v>
          </cell>
          <cell r="AM295">
            <v>0.31401000000000001</v>
          </cell>
          <cell r="AN295">
            <v>8</v>
          </cell>
          <cell r="AO295">
            <v>1</v>
          </cell>
          <cell r="AP295">
            <v>0</v>
          </cell>
          <cell r="AQ295">
            <v>0</v>
          </cell>
          <cell r="AR295">
            <v>0</v>
          </cell>
          <cell r="AS295">
            <v>1</v>
          </cell>
          <cell r="AT295">
            <v>1</v>
          </cell>
          <cell r="AU295">
            <v>1</v>
          </cell>
          <cell r="AV295">
            <v>1</v>
          </cell>
          <cell r="AW295">
            <v>0</v>
          </cell>
          <cell r="AX295">
            <v>1</v>
          </cell>
          <cell r="AY295">
            <v>1</v>
          </cell>
          <cell r="AZ295">
            <v>1</v>
          </cell>
          <cell r="BA295">
            <v>1</v>
          </cell>
          <cell r="BB295">
            <v>248</v>
          </cell>
        </row>
        <row r="296">
          <cell r="D296" t="str">
            <v>fjärrvärme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Y296">
            <v>303.03300000000002</v>
          </cell>
          <cell r="Z296">
            <v>107.783</v>
          </cell>
          <cell r="AA296">
            <v>36.299999999999997</v>
          </cell>
          <cell r="AB296">
            <v>47.54</v>
          </cell>
          <cell r="AC296">
            <v>44.40071256776443</v>
          </cell>
          <cell r="AD296">
            <v>74.469935279632068</v>
          </cell>
          <cell r="AE296">
            <v>33.446142571415486</v>
          </cell>
          <cell r="AF296">
            <v>44.520391454719707</v>
          </cell>
          <cell r="AG296">
            <v>1737.5325</v>
          </cell>
          <cell r="AH296">
            <v>1637.7765890909091</v>
          </cell>
          <cell r="AI296">
            <v>69.684341319107816</v>
          </cell>
          <cell r="AJ296">
            <v>45.660253020318471</v>
          </cell>
          <cell r="AK296">
            <v>46.445739946718049</v>
          </cell>
          <cell r="AL296">
            <v>1481</v>
          </cell>
          <cell r="AM296">
            <v>1747</v>
          </cell>
          <cell r="AN296">
            <v>361</v>
          </cell>
          <cell r="AO296">
            <v>362</v>
          </cell>
          <cell r="AP296">
            <v>378</v>
          </cell>
          <cell r="AQ296">
            <v>866</v>
          </cell>
          <cell r="AR296">
            <v>907</v>
          </cell>
          <cell r="AS296">
            <v>879</v>
          </cell>
          <cell r="AT296">
            <v>779</v>
          </cell>
          <cell r="AU296">
            <v>835</v>
          </cell>
          <cell r="AV296">
            <v>763</v>
          </cell>
          <cell r="AW296">
            <v>689</v>
          </cell>
          <cell r="AX296">
            <v>615</v>
          </cell>
          <cell r="AY296">
            <v>599</v>
          </cell>
          <cell r="AZ296">
            <v>619</v>
          </cell>
          <cell r="BA296">
            <v>621</v>
          </cell>
          <cell r="BB296">
            <v>249</v>
          </cell>
        </row>
        <row r="297">
          <cell r="D297" t="str">
            <v>el</v>
          </cell>
          <cell r="H297">
            <v>28339</v>
          </cell>
          <cell r="I297">
            <v>28256</v>
          </cell>
          <cell r="J297">
            <v>28804</v>
          </cell>
          <cell r="K297">
            <v>29927</v>
          </cell>
          <cell r="L297">
            <v>29394</v>
          </cell>
          <cell r="M297">
            <v>27990</v>
          </cell>
          <cell r="N297">
            <v>29650</v>
          </cell>
          <cell r="O297">
            <v>30229</v>
          </cell>
          <cell r="P297">
            <v>29326</v>
          </cell>
          <cell r="Q297">
            <v>29164</v>
          </cell>
          <cell r="Y297">
            <v>1423.9580000000001</v>
          </cell>
          <cell r="Z297">
            <v>831.23099999999999</v>
          </cell>
          <cell r="AA297">
            <v>2399.2309999999998</v>
          </cell>
          <cell r="AB297">
            <v>1759.0419999999999</v>
          </cell>
          <cell r="AC297">
            <v>692.596</v>
          </cell>
          <cell r="AD297">
            <v>565.22199999999998</v>
          </cell>
          <cell r="AE297">
            <v>523.46400000000006</v>
          </cell>
          <cell r="AF297">
            <v>530.71593184545566</v>
          </cell>
          <cell r="AG297">
            <v>437.91699730163066</v>
          </cell>
          <cell r="AH297">
            <v>576.85483375980618</v>
          </cell>
          <cell r="AI297">
            <v>649</v>
          </cell>
          <cell r="AJ297">
            <v>626</v>
          </cell>
          <cell r="AK297">
            <v>596</v>
          </cell>
          <cell r="AL297">
            <v>492</v>
          </cell>
          <cell r="AM297">
            <v>448</v>
          </cell>
          <cell r="AN297">
            <v>1684</v>
          </cell>
          <cell r="AO297">
            <v>1765</v>
          </cell>
          <cell r="AP297">
            <v>1915</v>
          </cell>
          <cell r="AQ297">
            <v>2588</v>
          </cell>
          <cell r="AR297">
            <v>2158</v>
          </cell>
          <cell r="AS297">
            <v>2022</v>
          </cell>
          <cell r="AT297">
            <v>2064</v>
          </cell>
          <cell r="AU297">
            <v>2003</v>
          </cell>
          <cell r="AV297">
            <v>1908</v>
          </cell>
          <cell r="AW297">
            <v>1807</v>
          </cell>
          <cell r="AX297">
            <v>1744</v>
          </cell>
          <cell r="AY297">
            <v>1689</v>
          </cell>
          <cell r="AZ297">
            <v>1713</v>
          </cell>
          <cell r="BA297">
            <v>1770</v>
          </cell>
          <cell r="BB297">
            <v>250</v>
          </cell>
        </row>
        <row r="298">
          <cell r="D298" t="str">
            <v>totalt</v>
          </cell>
          <cell r="Y298">
            <v>3521.8658385666668</v>
          </cell>
          <cell r="Z298">
            <v>2030.5781707777778</v>
          </cell>
          <cell r="AA298">
            <v>4351.530730511111</v>
          </cell>
          <cell r="AB298">
            <v>2839.5259205663788</v>
          </cell>
          <cell r="AC298">
            <v>2065.4381856919335</v>
          </cell>
          <cell r="AD298">
            <v>2109.2181544699015</v>
          </cell>
          <cell r="AE298">
            <v>1341.6656559372379</v>
          </cell>
          <cell r="AF298">
            <v>1960.3461486175606</v>
          </cell>
          <cell r="AG298">
            <v>4790.3826183681413</v>
          </cell>
          <cell r="AH298">
            <v>4832.6120460174661</v>
          </cell>
          <cell r="AI298">
            <v>1405.4676013191076</v>
          </cell>
          <cell r="AJ298">
            <v>1277.3586902503184</v>
          </cell>
          <cell r="AK298">
            <v>1055.0805324467181</v>
          </cell>
          <cell r="AL298">
            <v>2280.9988230190002</v>
          </cell>
          <cell r="AM298">
            <v>2787.2600956000001</v>
          </cell>
          <cell r="AN298">
            <v>3121</v>
          </cell>
          <cell r="AO298">
            <v>3397</v>
          </cell>
          <cell r="AP298">
            <v>3680</v>
          </cell>
          <cell r="AQ298">
            <v>4385</v>
          </cell>
          <cell r="AR298">
            <v>3805</v>
          </cell>
          <cell r="AS298">
            <v>3773</v>
          </cell>
          <cell r="AT298">
            <v>3491</v>
          </cell>
          <cell r="AU298">
            <v>3535</v>
          </cell>
          <cell r="AV298">
            <v>3365</v>
          </cell>
          <cell r="AW298">
            <v>3378</v>
          </cell>
          <cell r="AX298">
            <v>2958</v>
          </cell>
          <cell r="AY298">
            <v>2974</v>
          </cell>
          <cell r="AZ298">
            <v>2898</v>
          </cell>
          <cell r="BA298">
            <v>2919</v>
          </cell>
          <cell r="BB298">
            <v>251</v>
          </cell>
        </row>
        <row r="300">
          <cell r="D300" t="str">
            <v>biobränsle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14</v>
          </cell>
          <cell r="AR300">
            <v>14</v>
          </cell>
          <cell r="AS300">
            <v>260</v>
          </cell>
          <cell r="AT300">
            <v>248</v>
          </cell>
          <cell r="AU300">
            <v>258</v>
          </cell>
          <cell r="AV300">
            <v>280</v>
          </cell>
          <cell r="AW300">
            <v>294</v>
          </cell>
          <cell r="AX300">
            <v>345</v>
          </cell>
          <cell r="AY300">
            <v>335</v>
          </cell>
          <cell r="AZ300">
            <v>345</v>
          </cell>
          <cell r="BA300">
            <v>353</v>
          </cell>
          <cell r="BB300">
            <v>253</v>
          </cell>
        </row>
        <row r="301">
          <cell r="D301" t="str">
            <v>kol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128.51150000000001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0</v>
          </cell>
          <cell r="AZ301">
            <v>0</v>
          </cell>
          <cell r="BA301">
            <v>0</v>
          </cell>
          <cell r="BB301">
            <v>254</v>
          </cell>
        </row>
        <row r="302">
          <cell r="D302" t="str">
            <v>koks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0</v>
          </cell>
          <cell r="BA302">
            <v>0</v>
          </cell>
          <cell r="BB302">
            <v>255</v>
          </cell>
        </row>
        <row r="303">
          <cell r="D303" t="str">
            <v>gasol</v>
          </cell>
          <cell r="Y303">
            <v>204.68960000000001</v>
          </cell>
          <cell r="Z303">
            <v>370.99699999999996</v>
          </cell>
          <cell r="AA303">
            <v>243.06699999999998</v>
          </cell>
          <cell r="AB303">
            <v>230.274</v>
          </cell>
          <cell r="AC303">
            <v>127.92999999999999</v>
          </cell>
          <cell r="AD303">
            <v>243.06699999999998</v>
          </cell>
          <cell r="AE303">
            <v>191.89499999999998</v>
          </cell>
          <cell r="AF303">
            <v>127.92999999999999</v>
          </cell>
          <cell r="AG303">
            <v>63.964999999999996</v>
          </cell>
          <cell r="AH303">
            <v>127.92999999999999</v>
          </cell>
          <cell r="AI303">
            <v>140.72299999999998</v>
          </cell>
          <cell r="AJ303">
            <v>140.72299999999998</v>
          </cell>
          <cell r="AK303">
            <v>140.72410000000002</v>
          </cell>
          <cell r="AL303">
            <v>140.72410000000002</v>
          </cell>
          <cell r="AM303">
            <v>140.72410000000002</v>
          </cell>
          <cell r="AN303">
            <v>506</v>
          </cell>
          <cell r="AO303">
            <v>506</v>
          </cell>
          <cell r="AP303">
            <v>506</v>
          </cell>
          <cell r="AQ303">
            <v>230</v>
          </cell>
          <cell r="AR303">
            <v>184</v>
          </cell>
          <cell r="AS303">
            <v>129</v>
          </cell>
          <cell r="AT303">
            <v>123</v>
          </cell>
          <cell r="AU303">
            <v>127</v>
          </cell>
          <cell r="AV303">
            <v>118</v>
          </cell>
          <cell r="AW303">
            <v>118</v>
          </cell>
          <cell r="AX303">
            <v>117</v>
          </cell>
          <cell r="AY303">
            <v>116</v>
          </cell>
          <cell r="AZ303">
            <v>115</v>
          </cell>
          <cell r="BA303">
            <v>114</v>
          </cell>
          <cell r="BB303">
            <v>256</v>
          </cell>
        </row>
        <row r="304">
          <cell r="D304" t="str">
            <v>bensin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10</v>
          </cell>
          <cell r="AT304">
            <v>7</v>
          </cell>
          <cell r="AU304">
            <v>7</v>
          </cell>
          <cell r="AV304">
            <v>5</v>
          </cell>
          <cell r="AW304">
            <v>4</v>
          </cell>
          <cell r="AX304">
            <v>3</v>
          </cell>
          <cell r="AY304">
            <v>2</v>
          </cell>
          <cell r="AZ304">
            <v>2</v>
          </cell>
          <cell r="BA304">
            <v>6</v>
          </cell>
          <cell r="BB304">
            <v>257</v>
          </cell>
        </row>
        <row r="305">
          <cell r="D305" t="str">
            <v>lättoljor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258</v>
          </cell>
        </row>
        <row r="306">
          <cell r="D306" t="str">
            <v>diesel</v>
          </cell>
          <cell r="Y306">
            <v>0</v>
          </cell>
          <cell r="Z306">
            <v>29.656500000000001</v>
          </cell>
          <cell r="AA306">
            <v>29.656500000000001</v>
          </cell>
          <cell r="AB306">
            <v>0</v>
          </cell>
          <cell r="AC306">
            <v>39.542000000000002</v>
          </cell>
          <cell r="AD306">
            <v>0</v>
          </cell>
          <cell r="AE306">
            <v>29.656500000000001</v>
          </cell>
          <cell r="AF306">
            <v>29.656500000000001</v>
          </cell>
          <cell r="AG306">
            <v>29.656500000000001</v>
          </cell>
          <cell r="AH306">
            <v>29.656500000000001</v>
          </cell>
          <cell r="AI306">
            <v>49.427500000000002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409</v>
          </cell>
          <cell r="AR306">
            <v>337</v>
          </cell>
          <cell r="AS306">
            <v>327</v>
          </cell>
          <cell r="AT306">
            <v>297</v>
          </cell>
          <cell r="AU306">
            <v>358</v>
          </cell>
          <cell r="AV306">
            <v>370</v>
          </cell>
          <cell r="AW306">
            <v>344</v>
          </cell>
          <cell r="AX306">
            <v>306</v>
          </cell>
          <cell r="AY306">
            <v>291</v>
          </cell>
          <cell r="AZ306">
            <v>286</v>
          </cell>
          <cell r="BA306">
            <v>281</v>
          </cell>
          <cell r="BB306">
            <v>259</v>
          </cell>
        </row>
        <row r="307">
          <cell r="D307" t="str">
            <v>eo1</v>
          </cell>
          <cell r="Y307">
            <v>0</v>
          </cell>
          <cell r="Z307">
            <v>553.58799999999997</v>
          </cell>
          <cell r="AA307">
            <v>464.61850000000004</v>
          </cell>
          <cell r="AB307">
            <v>454.733</v>
          </cell>
          <cell r="AC307">
            <v>494.27500000000003</v>
          </cell>
          <cell r="AD307">
            <v>494.27500000000003</v>
          </cell>
          <cell r="AE307">
            <v>682.09950000000003</v>
          </cell>
          <cell r="AF307">
            <v>919.35149999999999</v>
          </cell>
          <cell r="AG307">
            <v>177.93900000000002</v>
          </cell>
          <cell r="AH307">
            <v>375.649</v>
          </cell>
          <cell r="AI307">
            <v>148.2825</v>
          </cell>
          <cell r="AJ307">
            <v>149.4495</v>
          </cell>
          <cell r="AK307">
            <v>149.4495</v>
          </cell>
          <cell r="AL307">
            <v>149.4495</v>
          </cell>
          <cell r="AM307">
            <v>149.4495</v>
          </cell>
          <cell r="AN307">
            <v>538</v>
          </cell>
          <cell r="AO307">
            <v>538</v>
          </cell>
          <cell r="AP307">
            <v>538</v>
          </cell>
          <cell r="AQ307">
            <v>1039</v>
          </cell>
          <cell r="AR307">
            <v>1075</v>
          </cell>
          <cell r="AS307">
            <v>941</v>
          </cell>
          <cell r="AT307">
            <v>896</v>
          </cell>
          <cell r="AU307">
            <v>925</v>
          </cell>
          <cell r="AV307">
            <v>856</v>
          </cell>
          <cell r="AW307">
            <v>856</v>
          </cell>
          <cell r="AX307">
            <v>847</v>
          </cell>
          <cell r="AY307">
            <v>843</v>
          </cell>
          <cell r="AZ307">
            <v>833</v>
          </cell>
          <cell r="BA307">
            <v>831</v>
          </cell>
          <cell r="BB307">
            <v>260</v>
          </cell>
        </row>
        <row r="308">
          <cell r="D308" t="str">
            <v>eo2-6</v>
          </cell>
          <cell r="Y308">
            <v>237.94979999999998</v>
          </cell>
          <cell r="Z308">
            <v>43.263599999999997</v>
          </cell>
          <cell r="AA308">
            <v>64.895399999999995</v>
          </cell>
          <cell r="AB308">
            <v>0</v>
          </cell>
          <cell r="AC308">
            <v>173.05439999999999</v>
          </cell>
          <cell r="AD308">
            <v>151.42259999999999</v>
          </cell>
          <cell r="AE308">
            <v>281.21339999999998</v>
          </cell>
          <cell r="AF308">
            <v>183.87029999999999</v>
          </cell>
          <cell r="AG308">
            <v>64.895399999999995</v>
          </cell>
          <cell r="AH308">
            <v>248.76569999999998</v>
          </cell>
          <cell r="AI308">
            <v>32.447699999999998</v>
          </cell>
          <cell r="AJ308">
            <v>31.7742</v>
          </cell>
          <cell r="AK308">
            <v>31.7742</v>
          </cell>
          <cell r="AL308">
            <v>31.749000000000002</v>
          </cell>
          <cell r="AM308">
            <v>31.749000000000002</v>
          </cell>
          <cell r="AN308">
            <v>114</v>
          </cell>
          <cell r="AO308">
            <v>114</v>
          </cell>
          <cell r="AP308">
            <v>114</v>
          </cell>
          <cell r="AQ308">
            <v>838</v>
          </cell>
          <cell r="AR308">
            <v>609</v>
          </cell>
          <cell r="AS308">
            <v>61</v>
          </cell>
          <cell r="AT308">
            <v>58</v>
          </cell>
          <cell r="AU308">
            <v>60</v>
          </cell>
          <cell r="AV308">
            <v>56</v>
          </cell>
          <cell r="AW308">
            <v>56</v>
          </cell>
          <cell r="AX308">
            <v>55</v>
          </cell>
          <cell r="AY308">
            <v>55</v>
          </cell>
          <cell r="AZ308">
            <v>54</v>
          </cell>
          <cell r="BA308">
            <v>54</v>
          </cell>
          <cell r="BB308">
            <v>261</v>
          </cell>
        </row>
        <row r="309">
          <cell r="D309" t="str">
            <v>övriga petroleumprodukter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262</v>
          </cell>
        </row>
        <row r="310">
          <cell r="D310" t="str">
            <v>naturgas</v>
          </cell>
          <cell r="Y310">
            <v>0</v>
          </cell>
          <cell r="Z310">
            <v>140.4</v>
          </cell>
          <cell r="AA310">
            <v>324</v>
          </cell>
          <cell r="AB310">
            <v>90.396000000000015</v>
          </cell>
          <cell r="AC310">
            <v>38.880000000000003</v>
          </cell>
          <cell r="AD310">
            <v>29.160000000000004</v>
          </cell>
          <cell r="AE310">
            <v>97.2</v>
          </cell>
          <cell r="AF310">
            <v>194.4</v>
          </cell>
          <cell r="AG310">
            <v>19.440000000000001</v>
          </cell>
          <cell r="AH310">
            <v>97.2</v>
          </cell>
          <cell r="AI310">
            <v>9.7200000000000006</v>
          </cell>
          <cell r="AJ310">
            <v>9.99</v>
          </cell>
          <cell r="AK310">
            <v>9.9</v>
          </cell>
          <cell r="AL310">
            <v>11.047499999999999</v>
          </cell>
          <cell r="AM310">
            <v>11.047499999999999</v>
          </cell>
          <cell r="AN310">
            <v>40</v>
          </cell>
          <cell r="AO310">
            <v>40</v>
          </cell>
          <cell r="AP310">
            <v>40</v>
          </cell>
          <cell r="AQ310">
            <v>239</v>
          </cell>
          <cell r="AR310">
            <v>159</v>
          </cell>
          <cell r="AS310">
            <v>51</v>
          </cell>
          <cell r="AT310">
            <v>49</v>
          </cell>
          <cell r="AU310">
            <v>51</v>
          </cell>
          <cell r="AV310">
            <v>47</v>
          </cell>
          <cell r="AW310">
            <v>47</v>
          </cell>
          <cell r="AX310">
            <v>46</v>
          </cell>
          <cell r="AY310">
            <v>46</v>
          </cell>
          <cell r="AZ310">
            <v>45</v>
          </cell>
          <cell r="BA310">
            <v>45</v>
          </cell>
          <cell r="BB310">
            <v>263</v>
          </cell>
        </row>
        <row r="311">
          <cell r="D311" t="str">
            <v>stadsgas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1</v>
          </cell>
          <cell r="AT311">
            <v>1</v>
          </cell>
          <cell r="AU311">
            <v>1</v>
          </cell>
          <cell r="AV311">
            <v>1</v>
          </cell>
          <cell r="AW311">
            <v>1</v>
          </cell>
          <cell r="AX311">
            <v>1</v>
          </cell>
          <cell r="AY311">
            <v>1</v>
          </cell>
          <cell r="AZ311">
            <v>1</v>
          </cell>
          <cell r="BA311">
            <v>1</v>
          </cell>
          <cell r="BB311">
            <v>264</v>
          </cell>
        </row>
        <row r="312">
          <cell r="D312" t="str">
            <v>masugnsgas m.m.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265</v>
          </cell>
        </row>
        <row r="313">
          <cell r="D313" t="str">
            <v>övriga bränslen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261</v>
          </cell>
          <cell r="AT313">
            <v>238</v>
          </cell>
          <cell r="AU313">
            <v>246</v>
          </cell>
          <cell r="AV313">
            <v>227</v>
          </cell>
          <cell r="AW313">
            <v>228</v>
          </cell>
          <cell r="AX313">
            <v>225</v>
          </cell>
          <cell r="AY313">
            <v>224</v>
          </cell>
          <cell r="AZ313">
            <v>222</v>
          </cell>
          <cell r="BA313">
            <v>221</v>
          </cell>
          <cell r="BB313">
            <v>266</v>
          </cell>
        </row>
        <row r="314">
          <cell r="D314" t="str">
            <v>fjärrvärme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470</v>
          </cell>
          <cell r="AT314">
            <v>432</v>
          </cell>
          <cell r="AU314">
            <v>428</v>
          </cell>
          <cell r="AV314">
            <v>419</v>
          </cell>
          <cell r="AW314">
            <v>405</v>
          </cell>
          <cell r="AX314">
            <v>385</v>
          </cell>
          <cell r="AY314">
            <v>368</v>
          </cell>
          <cell r="AZ314">
            <v>337</v>
          </cell>
          <cell r="BA314">
            <v>343</v>
          </cell>
          <cell r="BB314">
            <v>267</v>
          </cell>
        </row>
        <row r="315">
          <cell r="D315" t="str">
            <v>el</v>
          </cell>
          <cell r="Y315">
            <v>1606</v>
          </cell>
          <cell r="Z315">
            <v>1576</v>
          </cell>
          <cell r="AA315">
            <v>1479</v>
          </cell>
          <cell r="AB315">
            <v>1947</v>
          </cell>
          <cell r="AC315">
            <v>2111</v>
          </cell>
          <cell r="AD315">
            <v>2141</v>
          </cell>
          <cell r="AE315">
            <v>2172</v>
          </cell>
          <cell r="AF315">
            <v>2740.5810000000001</v>
          </cell>
          <cell r="AG315">
            <v>3990.0522999999998</v>
          </cell>
          <cell r="AH315">
            <v>2145</v>
          </cell>
          <cell r="AI315">
            <v>373</v>
          </cell>
          <cell r="AJ315">
            <v>306</v>
          </cell>
          <cell r="AK315">
            <v>361</v>
          </cell>
          <cell r="AL315">
            <v>315</v>
          </cell>
          <cell r="AM315">
            <v>202</v>
          </cell>
          <cell r="AN315">
            <v>68</v>
          </cell>
          <cell r="AO315">
            <v>3823</v>
          </cell>
          <cell r="AP315">
            <v>6077</v>
          </cell>
          <cell r="AQ315">
            <v>4370</v>
          </cell>
          <cell r="AR315">
            <v>5094</v>
          </cell>
          <cell r="AS315">
            <v>4516</v>
          </cell>
          <cell r="AT315">
            <v>4552</v>
          </cell>
          <cell r="AU315">
            <v>4512</v>
          </cell>
          <cell r="AV315">
            <v>4372</v>
          </cell>
          <cell r="AW315">
            <v>4267</v>
          </cell>
          <cell r="AX315">
            <v>4215</v>
          </cell>
          <cell r="AY315">
            <v>4206</v>
          </cell>
          <cell r="AZ315">
            <v>4257</v>
          </cell>
          <cell r="BA315">
            <v>4229</v>
          </cell>
          <cell r="BB315">
            <v>268</v>
          </cell>
        </row>
        <row r="316">
          <cell r="D316" t="str">
            <v>totalt</v>
          </cell>
          <cell r="Y316">
            <v>2048.6394</v>
          </cell>
          <cell r="Z316">
            <v>2713.9050999999999</v>
          </cell>
          <cell r="AA316">
            <v>2605.2374</v>
          </cell>
          <cell r="AB316">
            <v>2722.4030000000002</v>
          </cell>
          <cell r="AC316">
            <v>2984.6813999999999</v>
          </cell>
          <cell r="AD316">
            <v>3187.4360999999999</v>
          </cell>
          <cell r="AE316">
            <v>3454.0644000000002</v>
          </cell>
          <cell r="AF316">
            <v>4195.7893000000004</v>
          </cell>
          <cell r="AG316">
            <v>4345.9481999999998</v>
          </cell>
          <cell r="AH316">
            <v>3024.2012</v>
          </cell>
          <cell r="AI316">
            <v>753.60070000000007</v>
          </cell>
          <cell r="AJ316">
            <v>637.93669999999997</v>
          </cell>
          <cell r="AK316">
            <v>692.84780000000001</v>
          </cell>
          <cell r="AL316">
            <v>647.97010000000012</v>
          </cell>
          <cell r="AM316">
            <v>534.97010000000012</v>
          </cell>
          <cell r="AN316">
            <v>1266</v>
          </cell>
          <cell r="AO316">
            <v>5021</v>
          </cell>
          <cell r="AP316">
            <v>7275</v>
          </cell>
          <cell r="AQ316">
            <v>7139</v>
          </cell>
          <cell r="AR316">
            <v>7472</v>
          </cell>
          <cell r="AS316">
            <v>7027</v>
          </cell>
          <cell r="AT316">
            <v>6901</v>
          </cell>
          <cell r="AU316">
            <v>6973</v>
          </cell>
          <cell r="AV316">
            <v>6751</v>
          </cell>
          <cell r="AW316">
            <v>6620</v>
          </cell>
          <cell r="AX316">
            <v>6545</v>
          </cell>
          <cell r="AY316">
            <v>6487</v>
          </cell>
          <cell r="AZ316">
            <v>6497</v>
          </cell>
          <cell r="BA316">
            <v>6478</v>
          </cell>
          <cell r="BB316">
            <v>269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hysical_annual"/>
      <sheetName val="Physical_quarterly"/>
      <sheetName val="Physical_monthly"/>
      <sheetName val="Commercial_annual"/>
      <sheetName val="Commercial_quarterly"/>
      <sheetName val="Commercial_monthly"/>
      <sheetName val="SIB_FS_annual"/>
      <sheetName val="SIB_FS_semiannual"/>
      <sheetName val="SIB_FS_quarterly"/>
    </sheetNames>
    <sheetDataSet>
      <sheetData sheetId="0"/>
      <sheetData sheetId="1"/>
      <sheetData sheetId="2">
        <row r="6">
          <cell r="E6">
            <v>1806.7243599999999</v>
          </cell>
          <cell r="F6">
            <v>1197.47478</v>
          </cell>
          <cell r="G6">
            <v>971.27464999999995</v>
          </cell>
          <cell r="H6">
            <v>938.38305000000003</v>
          </cell>
          <cell r="I6">
            <v>1304.7447099999999</v>
          </cell>
          <cell r="J6">
            <v>1454.3039699999999</v>
          </cell>
          <cell r="K6">
            <v>1708.2131199999999</v>
          </cell>
          <cell r="L6">
            <v>1860.3357699999999</v>
          </cell>
          <cell r="M6">
            <v>1415.64365</v>
          </cell>
          <cell r="N6">
            <v>860.96154000000001</v>
          </cell>
          <cell r="O6">
            <v>1092.60186</v>
          </cell>
          <cell r="P6">
            <v>1498.9625699999999</v>
          </cell>
          <cell r="Q6">
            <v>1507.04213</v>
          </cell>
          <cell r="R6">
            <v>1443.4464399999999</v>
          </cell>
          <cell r="S6">
            <v>1032.0432900000001</v>
          </cell>
          <cell r="T6">
            <v>890.22843</v>
          </cell>
          <cell r="U6">
            <v>1248.02007</v>
          </cell>
          <cell r="V6">
            <v>1607.0501099999999</v>
          </cell>
          <cell r="W6">
            <v>1979.8994</v>
          </cell>
          <cell r="X6">
            <v>2141.9344120000001</v>
          </cell>
          <cell r="Y6">
            <v>1378.89086</v>
          </cell>
          <cell r="Z6">
            <v>973.73245999999995</v>
          </cell>
          <cell r="AA6">
            <v>1177.6124440000001</v>
          </cell>
          <cell r="AB6">
            <v>1649.1749600000001</v>
          </cell>
        </row>
        <row r="7">
          <cell r="E7">
            <v>550.61904800000002</v>
          </cell>
          <cell r="F7">
            <v>431.39676100000003</v>
          </cell>
          <cell r="G7">
            <v>441.69092699999999</v>
          </cell>
          <cell r="H7">
            <v>451.776972</v>
          </cell>
          <cell r="I7">
            <v>627.29274599999997</v>
          </cell>
          <cell r="J7">
            <v>674.74091599999997</v>
          </cell>
          <cell r="K7">
            <v>604.24195599999996</v>
          </cell>
          <cell r="L7">
            <v>490.01812699999999</v>
          </cell>
          <cell r="M7">
            <v>551.20948399999997</v>
          </cell>
          <cell r="N7">
            <v>370.395669</v>
          </cell>
          <cell r="O7">
            <v>390.25943000000001</v>
          </cell>
          <cell r="P7">
            <v>471.82161300000001</v>
          </cell>
          <cell r="Q7">
            <v>454.95388700000001</v>
          </cell>
          <cell r="R7">
            <v>438.13490300000001</v>
          </cell>
          <cell r="S7">
            <v>410.43266599999998</v>
          </cell>
          <cell r="T7">
            <v>420.87718599999999</v>
          </cell>
          <cell r="U7">
            <v>468.35524700000002</v>
          </cell>
          <cell r="V7">
            <v>524.89981699999998</v>
          </cell>
          <cell r="W7">
            <v>656.89505199999996</v>
          </cell>
          <cell r="X7">
            <v>587.92870300000004</v>
          </cell>
          <cell r="Y7">
            <v>519.46608900000001</v>
          </cell>
          <cell r="Z7">
            <v>511.23734100000001</v>
          </cell>
          <cell r="AA7">
            <v>617.31328599999995</v>
          </cell>
          <cell r="AB7">
            <v>730.74439900000004</v>
          </cell>
        </row>
        <row r="11">
          <cell r="E11">
            <v>2127.0983639999999</v>
          </cell>
          <cell r="F11">
            <v>1474.334625</v>
          </cell>
          <cell r="G11">
            <v>1301.7423759999999</v>
          </cell>
          <cell r="H11">
            <v>1300.94724</v>
          </cell>
          <cell r="I11">
            <v>1388.454422</v>
          </cell>
          <cell r="J11">
            <v>1495.2348999999999</v>
          </cell>
          <cell r="K11">
            <v>1611.3029320000001</v>
          </cell>
          <cell r="L11">
            <v>1523.2500950000001</v>
          </cell>
          <cell r="M11">
            <v>1284.0247079999999</v>
          </cell>
          <cell r="N11">
            <v>1138.1987939999999</v>
          </cell>
          <cell r="O11">
            <v>1357.005242</v>
          </cell>
          <cell r="P11">
            <v>1803.225559</v>
          </cell>
          <cell r="Q11">
            <v>1806.2233650000001</v>
          </cell>
          <cell r="R11">
            <v>1719.4972330000001</v>
          </cell>
          <cell r="S11">
            <v>1323.8355100000001</v>
          </cell>
          <cell r="T11">
            <v>1212.770031</v>
          </cell>
          <cell r="U11">
            <v>1408.6100180000001</v>
          </cell>
          <cell r="V11">
            <v>1541.2515960000001</v>
          </cell>
          <cell r="W11">
            <v>1753.5247240000001</v>
          </cell>
          <cell r="X11">
            <v>1731.349755</v>
          </cell>
          <cell r="Y11">
            <v>1357.066603</v>
          </cell>
          <cell r="Z11">
            <v>1269.4114750000001</v>
          </cell>
          <cell r="AA11">
            <v>1560.4612299999999</v>
          </cell>
          <cell r="AB11">
            <v>2019.0539739999999</v>
          </cell>
        </row>
        <row r="12">
          <cell r="E12">
            <v>143.952448</v>
          </cell>
          <cell r="F12">
            <v>99.616006999999996</v>
          </cell>
          <cell r="G12">
            <v>69.234539999999996</v>
          </cell>
          <cell r="H12">
            <v>38.248164000000003</v>
          </cell>
          <cell r="I12">
            <v>471.78197999999998</v>
          </cell>
          <cell r="J12">
            <v>557.51000999999997</v>
          </cell>
          <cell r="K12">
            <v>614.69566999999995</v>
          </cell>
          <cell r="L12">
            <v>742.50629300000003</v>
          </cell>
          <cell r="M12">
            <v>615.30387599999995</v>
          </cell>
          <cell r="N12">
            <v>51.138030000000001</v>
          </cell>
          <cell r="O12">
            <v>76.747106000000002</v>
          </cell>
          <cell r="P12">
            <v>105.04454</v>
          </cell>
          <cell r="Q12">
            <v>91.412090000000006</v>
          </cell>
          <cell r="R12">
            <v>101.10119</v>
          </cell>
          <cell r="S12">
            <v>74.88158</v>
          </cell>
          <cell r="T12">
            <v>58.00647</v>
          </cell>
          <cell r="U12">
            <v>243.47140999999999</v>
          </cell>
          <cell r="V12">
            <v>511.04928999999998</v>
          </cell>
          <cell r="W12">
            <v>788.2328</v>
          </cell>
          <cell r="X12">
            <v>886.56029000000001</v>
          </cell>
          <cell r="Y12">
            <v>476.307187</v>
          </cell>
          <cell r="Z12">
            <v>169.264363</v>
          </cell>
          <cell r="AA12">
            <v>181.524193</v>
          </cell>
          <cell r="AB12">
            <v>286.93860999999998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F67"/>
  <sheetViews>
    <sheetView zoomScale="80" zoomScaleNormal="80" workbookViewId="0">
      <selection activeCell="G45" sqref="G45"/>
    </sheetView>
  </sheetViews>
  <sheetFormatPr defaultColWidth="8" defaultRowHeight="12.75"/>
  <cols>
    <col min="1" max="1" width="8" style="7"/>
    <col min="2" max="2" width="39.7109375" style="22" customWidth="1"/>
    <col min="3" max="3" width="7.7109375" style="23" customWidth="1"/>
    <col min="4" max="4" width="21.7109375" style="23" bestFit="1" customWidth="1"/>
    <col min="5" max="5" width="14.85546875" style="7" bestFit="1" customWidth="1"/>
    <col min="6" max="6" width="12.85546875" style="7" bestFit="1" customWidth="1"/>
    <col min="7" max="16384" width="8" style="7"/>
  </cols>
  <sheetData>
    <row r="1" spans="1:6" s="17" customFormat="1" ht="15.75" customHeight="1" thickBot="1">
      <c r="A1" s="3" t="s">
        <v>102</v>
      </c>
      <c r="B1" s="5"/>
      <c r="C1" s="16" t="s">
        <v>27</v>
      </c>
      <c r="D1" s="16" t="s">
        <v>28</v>
      </c>
      <c r="E1" s="1">
        <v>2023</v>
      </c>
      <c r="F1" s="2">
        <v>2024</v>
      </c>
    </row>
    <row r="2" spans="1:6" ht="16.350000000000001" customHeight="1">
      <c r="B2" s="18" t="s">
        <v>103</v>
      </c>
      <c r="C2" s="19" t="s">
        <v>30</v>
      </c>
      <c r="D2" s="19"/>
      <c r="E2" s="20"/>
      <c r="F2" s="20"/>
    </row>
    <row r="3" spans="1:6" ht="16.350000000000001" customHeight="1">
      <c r="B3" s="18" t="s">
        <v>104</v>
      </c>
      <c r="C3" s="19" t="s">
        <v>30</v>
      </c>
      <c r="D3" s="21"/>
    </row>
    <row r="4" spans="1:6" ht="16.350000000000001" customHeight="1">
      <c r="B4" s="15"/>
      <c r="C4" s="21"/>
      <c r="D4" s="21"/>
    </row>
    <row r="5" spans="1:6" s="17" customFormat="1" ht="15.75" customHeight="1" thickBot="1">
      <c r="A5" s="3" t="s">
        <v>100</v>
      </c>
      <c r="B5" s="5"/>
      <c r="C5" s="16" t="s">
        <v>27</v>
      </c>
      <c r="D5" s="16" t="s">
        <v>28</v>
      </c>
      <c r="E5" s="1">
        <v>2023</v>
      </c>
      <c r="F5" s="2">
        <v>2024</v>
      </c>
    </row>
    <row r="6" spans="1:6" ht="16.350000000000001" customHeight="1">
      <c r="B6" s="8" t="s">
        <v>101</v>
      </c>
      <c r="C6" s="19" t="s">
        <v>29</v>
      </c>
      <c r="D6" s="19"/>
      <c r="E6" s="45">
        <v>16109.624030000001</v>
      </c>
      <c r="F6" s="45">
        <f>Physical_monthly!Q6+Physical_monthly!R6+Physical_monthly!S6+Physical_monthly!T6+Physical_monthly!U6+Physical_monthly!V6+Physical_monthly!W6+Physical_monthly!X6+Physical_monthly!Y6+Physical_monthly!Z6+Physical_monthly!AA6+Physical_monthly!AB6</f>
        <v>17010.231774</v>
      </c>
    </row>
    <row r="7" spans="1:6" ht="16.350000000000001" customHeight="1">
      <c r="B7" s="8" t="s">
        <v>110</v>
      </c>
      <c r="C7" s="19" t="s">
        <v>29</v>
      </c>
      <c r="D7" s="19"/>
      <c r="E7" s="45">
        <v>6055.4656489999998</v>
      </c>
      <c r="F7" s="45">
        <v>6341.2385759999997</v>
      </c>
    </row>
    <row r="8" spans="1:6" ht="16.350000000000001" customHeight="1">
      <c r="B8" s="18" t="s">
        <v>0</v>
      </c>
      <c r="C8" s="19" t="s">
        <v>29</v>
      </c>
      <c r="D8" s="21"/>
      <c r="E8" s="45">
        <f>E6+E7</f>
        <v>22165.089679000001</v>
      </c>
      <c r="F8" s="45">
        <f>F6+F7</f>
        <v>23351.47035</v>
      </c>
    </row>
    <row r="9" spans="1:6" ht="16.350000000000001" customHeight="1">
      <c r="B9" s="15"/>
      <c r="C9" s="21"/>
      <c r="D9" s="21"/>
      <c r="E9" s="45"/>
      <c r="F9" s="45"/>
    </row>
    <row r="10" spans="1:6" s="17" customFormat="1" ht="15.75" customHeight="1" thickBot="1">
      <c r="A10" s="3" t="s">
        <v>105</v>
      </c>
      <c r="B10" s="5"/>
      <c r="C10" s="16" t="s">
        <v>27</v>
      </c>
      <c r="D10" s="16" t="s">
        <v>28</v>
      </c>
      <c r="E10" s="46">
        <v>2023</v>
      </c>
      <c r="F10" s="46">
        <v>2024</v>
      </c>
    </row>
    <row r="11" spans="1:6" ht="16.350000000000001" customHeight="1">
      <c r="B11" s="8" t="s">
        <v>106</v>
      </c>
      <c r="C11" s="19" t="s">
        <v>29</v>
      </c>
      <c r="D11" s="19"/>
      <c r="E11" s="45">
        <v>17804.819256999999</v>
      </c>
      <c r="F11" s="45">
        <v>18703.055514</v>
      </c>
    </row>
    <row r="12" spans="1:6" ht="16.350000000000001" customHeight="1">
      <c r="B12" s="8" t="s">
        <v>111</v>
      </c>
      <c r="C12" s="19" t="s">
        <v>29</v>
      </c>
      <c r="D12" s="19"/>
      <c r="E12" s="45">
        <v>3585.7786639999999</v>
      </c>
      <c r="F12" s="45">
        <v>3869.140253</v>
      </c>
    </row>
    <row r="13" spans="1:6" ht="16.350000000000001" customHeight="1">
      <c r="B13" s="18" t="s">
        <v>0</v>
      </c>
      <c r="C13" s="19" t="s">
        <v>29</v>
      </c>
      <c r="D13" s="21"/>
      <c r="E13" s="45">
        <f>E11+E12</f>
        <v>21390.597921</v>
      </c>
      <c r="F13" s="45">
        <f>F11+F12</f>
        <v>22572.195767000001</v>
      </c>
    </row>
    <row r="14" spans="1:6" ht="16.350000000000001" customHeight="1">
      <c r="B14" s="15"/>
      <c r="C14" s="21"/>
      <c r="D14" s="21"/>
      <c r="E14" s="45"/>
      <c r="F14" s="45"/>
    </row>
    <row r="15" spans="1:6" s="17" customFormat="1" ht="15.75" customHeight="1" thickBot="1">
      <c r="A15" s="3" t="s">
        <v>107</v>
      </c>
      <c r="B15" s="5"/>
      <c r="C15" s="16" t="s">
        <v>27</v>
      </c>
      <c r="D15" s="16" t="s">
        <v>28</v>
      </c>
      <c r="E15" s="46">
        <v>2023</v>
      </c>
      <c r="F15" s="46">
        <v>2024</v>
      </c>
    </row>
    <row r="16" spans="1:6" ht="16.350000000000001" customHeight="1">
      <c r="B16" s="8" t="s">
        <v>146</v>
      </c>
      <c r="C16" s="19" t="s">
        <v>29</v>
      </c>
      <c r="D16" s="7"/>
      <c r="E16" s="7">
        <f>Physical_quarterly!E16+Physical_quarterly!F16+Physical_quarterly!G16+Physical_quarterly!H16</f>
        <v>6.0792979999999996</v>
      </c>
      <c r="F16" s="7">
        <f>Physical_quarterly!I16+Physical_quarterly!J16+Physical_quarterly!K16+Physical_quarterly!L16</f>
        <v>6.6810830000000001</v>
      </c>
    </row>
    <row r="17" spans="1:6" ht="16.350000000000001" customHeight="1">
      <c r="B17" s="8" t="s">
        <v>108</v>
      </c>
      <c r="C17" s="19" t="s">
        <v>29</v>
      </c>
      <c r="D17" s="19"/>
      <c r="E17" s="45">
        <f>Physical_quarterly!E17+Physical_quarterly!F17+Physical_quarterly!G17+Physical_quarterly!H17</f>
        <v>763.04652099999998</v>
      </c>
      <c r="F17" s="45">
        <f>Physical_quarterly!I17+Physical_quarterly!J17+Physical_quarterly!K17+Physical_quarterly!L17</f>
        <v>772.59350100000006</v>
      </c>
    </row>
    <row r="18" spans="1:6" ht="16.350000000000001" customHeight="1">
      <c r="B18" s="8" t="s">
        <v>108</v>
      </c>
      <c r="C18" s="19" t="s">
        <v>83</v>
      </c>
      <c r="D18" s="19"/>
      <c r="E18" s="48">
        <f>E17/E8*100</f>
        <v>3.4425600439728319</v>
      </c>
      <c r="F18" s="47">
        <f>F17/F8*100</f>
        <v>3.3085432712377365</v>
      </c>
    </row>
    <row r="19" spans="1:6" s="17" customFormat="1" ht="15.75" customHeight="1" thickBot="1">
      <c r="A19" s="3" t="s">
        <v>119</v>
      </c>
      <c r="B19" s="5"/>
      <c r="C19" s="16" t="s">
        <v>27</v>
      </c>
      <c r="D19" s="16" t="s">
        <v>28</v>
      </c>
      <c r="E19" s="1">
        <v>2023</v>
      </c>
      <c r="F19" s="2">
        <v>2024</v>
      </c>
    </row>
    <row r="20" spans="1:6" ht="16.350000000000001" customHeight="1">
      <c r="B20" s="18" t="s">
        <v>120</v>
      </c>
      <c r="C20" s="19" t="s">
        <v>30</v>
      </c>
      <c r="D20" s="19"/>
      <c r="E20" s="14"/>
      <c r="F20" s="14"/>
    </row>
    <row r="21" spans="1:6" ht="16.350000000000001" customHeight="1">
      <c r="B21" s="18" t="s">
        <v>121</v>
      </c>
      <c r="C21" s="19" t="s">
        <v>30</v>
      </c>
      <c r="D21" s="19"/>
      <c r="E21" s="14"/>
      <c r="F21" s="14"/>
    </row>
    <row r="22" spans="1:6" ht="16.350000000000001" customHeight="1">
      <c r="B22" s="8" t="s">
        <v>122</v>
      </c>
      <c r="C22" s="19" t="s">
        <v>30</v>
      </c>
      <c r="D22" s="19"/>
      <c r="E22" s="14"/>
      <c r="F22" s="14"/>
    </row>
    <row r="23" spans="1:6" ht="16.350000000000001" customHeight="1">
      <c r="B23" s="8" t="s">
        <v>123</v>
      </c>
      <c r="C23" s="19" t="s">
        <v>30</v>
      </c>
      <c r="D23" s="19"/>
      <c r="E23" s="14"/>
      <c r="F23" s="14"/>
    </row>
    <row r="24" spans="1:6" ht="16.350000000000001" customHeight="1">
      <c r="B24" s="15"/>
      <c r="C24" s="21"/>
      <c r="D24" s="21"/>
    </row>
    <row r="25" spans="1:6" s="17" customFormat="1" ht="15.75" customHeight="1" thickBot="1">
      <c r="A25" s="3" t="s">
        <v>124</v>
      </c>
      <c r="B25" s="5"/>
      <c r="C25" s="16" t="s">
        <v>27</v>
      </c>
      <c r="D25" s="16" t="s">
        <v>28</v>
      </c>
      <c r="E25" s="1">
        <v>2023</v>
      </c>
      <c r="F25" s="2">
        <v>2024</v>
      </c>
    </row>
    <row r="26" spans="1:6" ht="16.350000000000001" customHeight="1">
      <c r="B26" s="18" t="s">
        <v>125</v>
      </c>
      <c r="C26" s="19" t="s">
        <v>30</v>
      </c>
      <c r="D26" s="19"/>
      <c r="E26" s="14"/>
      <c r="F26" s="14"/>
    </row>
    <row r="27" spans="1:6" ht="16.350000000000001" customHeight="1">
      <c r="B27" s="8" t="s">
        <v>126</v>
      </c>
      <c r="C27" s="19" t="s">
        <v>30</v>
      </c>
      <c r="D27" s="19"/>
      <c r="E27" s="14"/>
      <c r="F27" s="14"/>
    </row>
    <row r="28" spans="1:6" ht="16.350000000000001" customHeight="1">
      <c r="B28" s="8" t="s">
        <v>127</v>
      </c>
      <c r="C28" s="19" t="s">
        <v>30</v>
      </c>
      <c r="D28" s="19"/>
      <c r="E28" s="14"/>
      <c r="F28" s="14"/>
    </row>
    <row r="29" spans="1:6" ht="16.350000000000001" customHeight="1">
      <c r="B29" s="8" t="s">
        <v>128</v>
      </c>
      <c r="C29" s="19" t="s">
        <v>30</v>
      </c>
      <c r="D29" s="19"/>
      <c r="E29" s="14"/>
      <c r="F29" s="14"/>
    </row>
    <row r="30" spans="1:6" ht="16.350000000000001" customHeight="1">
      <c r="B30" s="8" t="s">
        <v>129</v>
      </c>
      <c r="C30" s="19" t="s">
        <v>30</v>
      </c>
      <c r="D30" s="19"/>
      <c r="E30" s="14"/>
      <c r="F30" s="14"/>
    </row>
    <row r="31" spans="1:6" ht="16.350000000000001" customHeight="1">
      <c r="B31" s="8" t="s">
        <v>130</v>
      </c>
      <c r="C31" s="19" t="s">
        <v>30</v>
      </c>
      <c r="D31" s="19"/>
      <c r="E31" s="14"/>
      <c r="F31" s="14"/>
    </row>
    <row r="32" spans="1:6" ht="16.350000000000001" customHeight="1">
      <c r="B32" s="8" t="s">
        <v>131</v>
      </c>
      <c r="C32" s="19" t="s">
        <v>30</v>
      </c>
      <c r="D32" s="19"/>
      <c r="E32" s="14"/>
      <c r="F32" s="14"/>
    </row>
    <row r="33" spans="1:6" ht="16.350000000000001" customHeight="1">
      <c r="B33" s="8" t="s">
        <v>132</v>
      </c>
      <c r="C33" s="19" t="s">
        <v>30</v>
      </c>
      <c r="D33" s="19"/>
      <c r="E33" s="14"/>
      <c r="F33" s="14"/>
    </row>
    <row r="34" spans="1:6" ht="16.350000000000001" customHeight="1">
      <c r="B34" s="8" t="s">
        <v>133</v>
      </c>
      <c r="C34" s="19" t="s">
        <v>30</v>
      </c>
      <c r="D34" s="24"/>
      <c r="E34" s="14"/>
      <c r="F34" s="14"/>
    </row>
    <row r="35" spans="1:6" ht="16.350000000000001" customHeight="1">
      <c r="B35" s="8" t="s">
        <v>134</v>
      </c>
      <c r="C35" s="19" t="s">
        <v>30</v>
      </c>
      <c r="D35" s="24"/>
      <c r="E35" s="14"/>
      <c r="F35" s="14"/>
    </row>
    <row r="36" spans="1:6" ht="16.350000000000001" customHeight="1">
      <c r="B36" s="8" t="s">
        <v>135</v>
      </c>
      <c r="C36" s="19" t="s">
        <v>30</v>
      </c>
      <c r="D36" s="24"/>
      <c r="E36" s="14"/>
      <c r="F36" s="14"/>
    </row>
    <row r="37" spans="1:6" ht="16.350000000000001" customHeight="1">
      <c r="B37" s="8" t="s">
        <v>136</v>
      </c>
      <c r="C37" s="19" t="s">
        <v>30</v>
      </c>
      <c r="D37" s="19"/>
      <c r="E37" s="14"/>
      <c r="F37" s="14"/>
    </row>
    <row r="38" spans="1:6" ht="16.350000000000001" customHeight="1">
      <c r="B38" s="8" t="s">
        <v>1</v>
      </c>
      <c r="C38" s="19" t="s">
        <v>30</v>
      </c>
      <c r="D38" s="19"/>
      <c r="E38" s="14"/>
      <c r="F38" s="14"/>
    </row>
    <row r="39" spans="1:6" ht="16.350000000000001" customHeight="1">
      <c r="B39" s="8" t="s">
        <v>0</v>
      </c>
      <c r="C39" s="19" t="s">
        <v>30</v>
      </c>
      <c r="D39" s="19"/>
      <c r="E39" s="20"/>
      <c r="F39" s="20"/>
    </row>
    <row r="40" spans="1:6" ht="16.350000000000001" customHeight="1">
      <c r="B40" s="15"/>
      <c r="C40" s="21"/>
      <c r="D40" s="21"/>
    </row>
    <row r="41" spans="1:6" s="17" customFormat="1" ht="15.75" customHeight="1" thickBot="1">
      <c r="A41" s="3" t="s">
        <v>137</v>
      </c>
      <c r="B41" s="5"/>
      <c r="C41" s="16" t="s">
        <v>27</v>
      </c>
      <c r="D41" s="16" t="s">
        <v>28</v>
      </c>
      <c r="E41" s="1">
        <v>2023</v>
      </c>
      <c r="F41" s="2">
        <v>2024</v>
      </c>
    </row>
    <row r="42" spans="1:6" ht="16.350000000000001" customHeight="1">
      <c r="B42" s="18" t="s">
        <v>125</v>
      </c>
      <c r="C42" s="19" t="s">
        <v>30</v>
      </c>
      <c r="D42" s="19"/>
      <c r="E42" s="14"/>
      <c r="F42" s="14"/>
    </row>
    <row r="43" spans="1:6" ht="16.350000000000001" customHeight="1">
      <c r="B43" s="8" t="s">
        <v>126</v>
      </c>
      <c r="C43" s="19" t="s">
        <v>30</v>
      </c>
      <c r="D43" s="19"/>
      <c r="E43" s="14"/>
      <c r="F43" s="14"/>
    </row>
    <row r="44" spans="1:6" ht="16.350000000000001" customHeight="1">
      <c r="B44" s="8" t="s">
        <v>127</v>
      </c>
      <c r="C44" s="19" t="s">
        <v>30</v>
      </c>
      <c r="D44" s="19"/>
      <c r="E44" s="14"/>
      <c r="F44" s="14"/>
    </row>
    <row r="45" spans="1:6" ht="16.350000000000001" customHeight="1">
      <c r="B45" s="8" t="s">
        <v>128</v>
      </c>
      <c r="C45" s="19" t="s">
        <v>30</v>
      </c>
      <c r="D45" s="19"/>
      <c r="E45" s="14"/>
      <c r="F45" s="14"/>
    </row>
    <row r="46" spans="1:6" ht="16.350000000000001" customHeight="1">
      <c r="B46" s="8" t="s">
        <v>129</v>
      </c>
      <c r="C46" s="19" t="s">
        <v>30</v>
      </c>
      <c r="D46" s="19"/>
      <c r="E46" s="14"/>
      <c r="F46" s="14"/>
    </row>
    <row r="47" spans="1:6" ht="16.350000000000001" customHeight="1">
      <c r="B47" s="8" t="s">
        <v>130</v>
      </c>
      <c r="C47" s="19" t="s">
        <v>30</v>
      </c>
      <c r="D47" s="19"/>
      <c r="E47" s="14"/>
      <c r="F47" s="14"/>
    </row>
    <row r="48" spans="1:6" ht="16.350000000000001" customHeight="1">
      <c r="B48" s="8" t="s">
        <v>131</v>
      </c>
      <c r="C48" s="19" t="s">
        <v>30</v>
      </c>
      <c r="D48" s="19"/>
      <c r="E48" s="14"/>
      <c r="F48" s="14"/>
    </row>
    <row r="49" spans="1:6" ht="16.350000000000001" customHeight="1">
      <c r="B49" s="8" t="s">
        <v>132</v>
      </c>
      <c r="C49" s="19" t="s">
        <v>30</v>
      </c>
      <c r="D49" s="19"/>
      <c r="E49" s="14"/>
      <c r="F49" s="14"/>
    </row>
    <row r="50" spans="1:6" ht="16.350000000000001" customHeight="1">
      <c r="B50" s="8" t="s">
        <v>133</v>
      </c>
      <c r="C50" s="19" t="s">
        <v>30</v>
      </c>
      <c r="D50" s="24"/>
      <c r="E50" s="14"/>
      <c r="F50" s="14"/>
    </row>
    <row r="51" spans="1:6" ht="16.350000000000001" customHeight="1">
      <c r="B51" s="8" t="s">
        <v>134</v>
      </c>
      <c r="C51" s="19" t="s">
        <v>30</v>
      </c>
      <c r="D51" s="24"/>
      <c r="E51" s="14"/>
      <c r="F51" s="14"/>
    </row>
    <row r="52" spans="1:6" ht="16.350000000000001" customHeight="1">
      <c r="B52" s="8" t="s">
        <v>135</v>
      </c>
      <c r="C52" s="19" t="s">
        <v>30</v>
      </c>
      <c r="D52" s="24"/>
      <c r="E52" s="14"/>
      <c r="F52" s="14"/>
    </row>
    <row r="53" spans="1:6" ht="16.350000000000001" customHeight="1">
      <c r="B53" s="8" t="s">
        <v>136</v>
      </c>
      <c r="C53" s="19" t="s">
        <v>30</v>
      </c>
      <c r="D53" s="19"/>
      <c r="E53" s="14"/>
      <c r="F53" s="14"/>
    </row>
    <row r="54" spans="1:6" ht="16.350000000000001" customHeight="1">
      <c r="B54" s="8" t="s">
        <v>1</v>
      </c>
      <c r="C54" s="19" t="s">
        <v>30</v>
      </c>
      <c r="D54" s="19"/>
      <c r="E54" s="14"/>
      <c r="F54" s="14"/>
    </row>
    <row r="55" spans="1:6" ht="16.350000000000001" customHeight="1">
      <c r="B55" s="8" t="s">
        <v>0</v>
      </c>
      <c r="C55" s="19" t="s">
        <v>30</v>
      </c>
      <c r="D55" s="19"/>
      <c r="E55" s="20"/>
      <c r="F55" s="20"/>
    </row>
    <row r="56" spans="1:6" ht="16.149999999999999" customHeight="1">
      <c r="B56" s="15"/>
      <c r="C56" s="21"/>
      <c r="D56" s="21"/>
    </row>
    <row r="57" spans="1:6" s="17" customFormat="1" ht="15.75" customHeight="1" thickBot="1">
      <c r="A57" s="3" t="s">
        <v>138</v>
      </c>
      <c r="B57" s="5"/>
      <c r="C57" s="16" t="s">
        <v>27</v>
      </c>
      <c r="D57" s="16" t="s">
        <v>28</v>
      </c>
      <c r="E57" s="1">
        <v>2023</v>
      </c>
      <c r="F57" s="2">
        <v>2024</v>
      </c>
    </row>
    <row r="58" spans="1:6" ht="16.350000000000001" customHeight="1">
      <c r="B58" s="18" t="s">
        <v>139</v>
      </c>
      <c r="C58" s="19" t="s">
        <v>30</v>
      </c>
      <c r="D58" s="19"/>
      <c r="E58" s="14"/>
      <c r="F58" s="14"/>
    </row>
    <row r="59" spans="1:6" ht="16.350000000000001" customHeight="1">
      <c r="B59" s="8" t="s">
        <v>140</v>
      </c>
      <c r="C59" s="19" t="s">
        <v>30</v>
      </c>
      <c r="D59" s="19"/>
      <c r="E59" s="14"/>
      <c r="F59" s="14"/>
    </row>
    <row r="60" spans="1:6" ht="16.350000000000001" customHeight="1">
      <c r="B60" s="8" t="s">
        <v>141</v>
      </c>
      <c r="C60" s="19" t="s">
        <v>30</v>
      </c>
      <c r="D60" s="19"/>
      <c r="E60" s="14"/>
      <c r="F60" s="14"/>
    </row>
    <row r="61" spans="1:6" ht="16.350000000000001" customHeight="1">
      <c r="B61" s="8" t="s">
        <v>142</v>
      </c>
      <c r="C61" s="19" t="s">
        <v>30</v>
      </c>
      <c r="D61" s="19"/>
      <c r="E61" s="14"/>
      <c r="F61" s="14"/>
    </row>
    <row r="62" spans="1:6" ht="16.350000000000001" customHeight="1">
      <c r="B62" s="8" t="s">
        <v>143</v>
      </c>
      <c r="C62" s="19" t="s">
        <v>30</v>
      </c>
      <c r="D62" s="19"/>
      <c r="E62" s="14"/>
      <c r="F62" s="14"/>
    </row>
    <row r="63" spans="1:6" ht="16.350000000000001" customHeight="1">
      <c r="B63" s="8" t="s">
        <v>144</v>
      </c>
      <c r="C63" s="19" t="s">
        <v>30</v>
      </c>
      <c r="D63" s="19"/>
      <c r="E63" s="14"/>
      <c r="F63" s="14"/>
    </row>
    <row r="64" spans="1:6" ht="16.350000000000001" customHeight="1">
      <c r="B64" s="8" t="s">
        <v>145</v>
      </c>
      <c r="C64" s="19" t="s">
        <v>30</v>
      </c>
      <c r="D64" s="19"/>
      <c r="E64" s="14"/>
      <c r="F64" s="14"/>
    </row>
    <row r="65" spans="2:6" ht="16.350000000000001" customHeight="1">
      <c r="B65" s="8" t="s">
        <v>136</v>
      </c>
      <c r="C65" s="19" t="s">
        <v>30</v>
      </c>
      <c r="D65" s="19"/>
      <c r="E65" s="14"/>
      <c r="F65" s="14"/>
    </row>
    <row r="66" spans="2:6" ht="16.350000000000001" customHeight="1">
      <c r="B66" s="8" t="s">
        <v>1</v>
      </c>
      <c r="C66" s="19" t="s">
        <v>30</v>
      </c>
      <c r="D66" s="19"/>
      <c r="E66" s="14"/>
      <c r="F66" s="14"/>
    </row>
    <row r="67" spans="2:6" ht="16.350000000000001" customHeight="1">
      <c r="B67" s="8" t="s">
        <v>0</v>
      </c>
      <c r="C67" s="19" t="s">
        <v>30</v>
      </c>
      <c r="D67" s="19"/>
      <c r="E67" s="20"/>
      <c r="F67" s="20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</sheetPr>
  <dimension ref="A1:L67"/>
  <sheetViews>
    <sheetView zoomScale="80" zoomScaleNormal="80" workbookViewId="0">
      <selection activeCell="L6" sqref="L6"/>
    </sheetView>
  </sheetViews>
  <sheetFormatPr defaultColWidth="8" defaultRowHeight="12.75"/>
  <cols>
    <col min="1" max="1" width="8" style="7"/>
    <col min="2" max="2" width="39.7109375" style="22" customWidth="1"/>
    <col min="3" max="4" width="7.7109375" style="23" customWidth="1"/>
    <col min="5" max="12" width="7.7109375" style="7" customWidth="1"/>
    <col min="13" max="16384" width="8" style="7"/>
  </cols>
  <sheetData>
    <row r="1" spans="1:12" s="17" customFormat="1" ht="15.75" customHeight="1" thickBot="1">
      <c r="A1" s="3" t="s">
        <v>102</v>
      </c>
      <c r="B1" s="5"/>
      <c r="C1" s="16" t="s">
        <v>27</v>
      </c>
      <c r="D1" s="16" t="s">
        <v>28</v>
      </c>
      <c r="E1" s="1" t="s">
        <v>21</v>
      </c>
      <c r="F1" s="2" t="s">
        <v>22</v>
      </c>
      <c r="G1" s="1" t="s">
        <v>25</v>
      </c>
      <c r="H1" s="2" t="s">
        <v>26</v>
      </c>
      <c r="I1" s="1" t="s">
        <v>91</v>
      </c>
      <c r="J1" s="2" t="s">
        <v>92</v>
      </c>
      <c r="K1" s="1" t="s">
        <v>88</v>
      </c>
      <c r="L1" s="1" t="s">
        <v>89</v>
      </c>
    </row>
    <row r="2" spans="1:12" ht="16.350000000000001" customHeight="1">
      <c r="B2" s="18" t="s">
        <v>103</v>
      </c>
      <c r="C2" s="19" t="s">
        <v>30</v>
      </c>
      <c r="D2" s="19"/>
      <c r="E2" s="20"/>
      <c r="F2" s="20"/>
      <c r="G2" s="20"/>
      <c r="H2" s="20"/>
      <c r="I2" s="20"/>
      <c r="J2" s="20"/>
      <c r="K2" s="20"/>
      <c r="L2" s="20"/>
    </row>
    <row r="3" spans="1:12" ht="16.350000000000001" customHeight="1">
      <c r="B3" s="18" t="s">
        <v>104</v>
      </c>
      <c r="C3" s="19" t="s">
        <v>30</v>
      </c>
      <c r="D3" s="21"/>
    </row>
    <row r="4" spans="1:12" ht="16.350000000000001" customHeight="1">
      <c r="B4" s="15"/>
      <c r="C4" s="21"/>
      <c r="D4" s="21"/>
    </row>
    <row r="5" spans="1:12" s="17" customFormat="1" ht="15.75" customHeight="1" thickBot="1">
      <c r="A5" s="3" t="s">
        <v>100</v>
      </c>
      <c r="B5" s="5"/>
      <c r="C5" s="16" t="s">
        <v>27</v>
      </c>
      <c r="D5" s="16" t="s">
        <v>28</v>
      </c>
      <c r="E5" s="1" t="s">
        <v>21</v>
      </c>
      <c r="F5" s="2" t="s">
        <v>22</v>
      </c>
      <c r="G5" s="1" t="s">
        <v>25</v>
      </c>
      <c r="H5" s="2" t="s">
        <v>26</v>
      </c>
      <c r="I5" s="1" t="s">
        <v>91</v>
      </c>
      <c r="J5" s="2" t="s">
        <v>92</v>
      </c>
      <c r="K5" s="1" t="s">
        <v>88</v>
      </c>
      <c r="L5" s="1" t="s">
        <v>89</v>
      </c>
    </row>
    <row r="6" spans="1:12" ht="16.350000000000001" customHeight="1">
      <c r="B6" s="8" t="s">
        <v>101</v>
      </c>
      <c r="C6" s="19" t="s">
        <v>29</v>
      </c>
      <c r="D6" s="19"/>
      <c r="E6" s="14">
        <f>[3]Physical_monthly!E6+[3]Physical_monthly!F6+[3]Physical_monthly!G6</f>
        <v>3975.4737899999996</v>
      </c>
      <c r="F6" s="14">
        <f>[3]Physical_monthly!H6+[3]Physical_monthly!I6+[3]Physical_monthly!J6</f>
        <v>3697.4317299999998</v>
      </c>
      <c r="G6" s="14">
        <f>[3]Physical_monthly!K6+[3]Physical_monthly!L6+[3]Physical_monthly!M6</f>
        <v>4984.19254</v>
      </c>
      <c r="H6" s="14">
        <f>[3]Physical_monthly!N6+[3]Physical_monthly!O6+[3]Physical_monthly!P6</f>
        <v>3452.5259699999997</v>
      </c>
      <c r="I6" s="14">
        <f>[3]Physical_monthly!Q6+[3]Physical_monthly!R6+[3]Physical_monthly!S6</f>
        <v>3982.5318600000001</v>
      </c>
      <c r="J6" s="14">
        <f>[3]Physical_monthly!T6+[3]Physical_monthly!U6+[3]Physical_monthly!V6</f>
        <v>3745.2986099999998</v>
      </c>
      <c r="K6" s="14">
        <f>[3]Physical_monthly!W6+[3]Physical_monthly!X6+[3]Physical_monthly!Y6</f>
        <v>5500.7246720000003</v>
      </c>
      <c r="L6" s="14">
        <f>[3]Physical_monthly!Z6+[3]Physical_monthly!AA6+[3]Physical_monthly!AB6</f>
        <v>3800.5198639999999</v>
      </c>
    </row>
    <row r="7" spans="1:12" ht="16.350000000000001" customHeight="1">
      <c r="B7" s="8" t="s">
        <v>110</v>
      </c>
      <c r="C7" s="19" t="s">
        <v>29</v>
      </c>
      <c r="D7" s="19"/>
      <c r="E7" s="14">
        <f>[3]Physical_monthly!E7+[3]Physical_monthly!F7+[3]Physical_monthly!G7</f>
        <v>1423.7067360000001</v>
      </c>
      <c r="F7" s="14">
        <f>[3]Physical_monthly!H7+[3]Physical_monthly!I7+[3]Physical_monthly!J7</f>
        <v>1753.8106339999999</v>
      </c>
      <c r="G7" s="14">
        <f>[3]Physical_monthly!K7+[3]Physical_monthly!L7+[3]Physical_monthly!M7</f>
        <v>1645.4695669999999</v>
      </c>
      <c r="H7" s="14">
        <f>[3]Physical_monthly!N7+[3]Physical_monthly!O7+[3]Physical_monthly!P7</f>
        <v>1232.4767120000001</v>
      </c>
      <c r="I7" s="14">
        <f>[3]Physical_monthly!Q7+[3]Physical_monthly!R7+[3]Physical_monthly!S7</f>
        <v>1303.5214559999999</v>
      </c>
      <c r="J7" s="14">
        <f>[3]Physical_monthly!T7+[3]Physical_monthly!U7+[3]Physical_monthly!V7</f>
        <v>1414.1322500000001</v>
      </c>
      <c r="K7" s="14">
        <f>[3]Physical_monthly!W7+[3]Physical_monthly!X7+[3]Physical_monthly!Y7</f>
        <v>1764.2898439999999</v>
      </c>
      <c r="L7" s="14">
        <f>[3]Physical_monthly!Z7+[3]Physical_monthly!AA7+[3]Physical_monthly!AB7</f>
        <v>1859.2950260000002</v>
      </c>
    </row>
    <row r="8" spans="1:12" ht="16.350000000000001" customHeight="1">
      <c r="B8" s="18" t="s">
        <v>0</v>
      </c>
      <c r="C8" s="19" t="s">
        <v>29</v>
      </c>
      <c r="D8" s="21"/>
      <c r="E8" s="14">
        <f>E6+E7</f>
        <v>5399.1805260000001</v>
      </c>
      <c r="F8" s="14">
        <f t="shared" ref="F8:L8" si="0">F6+F7</f>
        <v>5451.2423639999997</v>
      </c>
      <c r="G8" s="14">
        <f t="shared" si="0"/>
        <v>6629.6621070000001</v>
      </c>
      <c r="H8" s="14">
        <f t="shared" si="0"/>
        <v>4685.0026820000003</v>
      </c>
      <c r="I8" s="14">
        <f t="shared" si="0"/>
        <v>5286.0533159999995</v>
      </c>
      <c r="J8" s="14">
        <f t="shared" si="0"/>
        <v>5159.4308600000004</v>
      </c>
      <c r="K8" s="14">
        <f t="shared" si="0"/>
        <v>7265.0145160000002</v>
      </c>
      <c r="L8" s="14">
        <f t="shared" si="0"/>
        <v>5659.8148899999997</v>
      </c>
    </row>
    <row r="9" spans="1:12" ht="16.350000000000001" customHeight="1">
      <c r="B9" s="15"/>
      <c r="C9" s="21"/>
      <c r="D9" s="21"/>
    </row>
    <row r="10" spans="1:12" s="17" customFormat="1" ht="15.75" customHeight="1" thickBot="1">
      <c r="A10" s="3" t="s">
        <v>105</v>
      </c>
      <c r="B10" s="5"/>
      <c r="C10" s="16" t="s">
        <v>27</v>
      </c>
      <c r="D10" s="16" t="s">
        <v>28</v>
      </c>
      <c r="E10" s="1" t="s">
        <v>21</v>
      </c>
      <c r="F10" s="2" t="s">
        <v>22</v>
      </c>
      <c r="G10" s="1" t="s">
        <v>25</v>
      </c>
      <c r="H10" s="2" t="s">
        <v>26</v>
      </c>
      <c r="I10" s="1" t="s">
        <v>91</v>
      </c>
      <c r="J10" s="2" t="s">
        <v>92</v>
      </c>
      <c r="K10" s="1" t="s">
        <v>88</v>
      </c>
      <c r="L10" s="1" t="s">
        <v>89</v>
      </c>
    </row>
    <row r="11" spans="1:12" ht="16.350000000000001" customHeight="1">
      <c r="B11" s="8" t="s">
        <v>106</v>
      </c>
      <c r="C11" s="19" t="s">
        <v>29</v>
      </c>
      <c r="D11" s="19"/>
      <c r="E11" s="14">
        <f>[3]Physical_monthly!E11+[3]Physical_monthly!F11+[3]Physical_monthly!G11</f>
        <v>4903.1753650000001</v>
      </c>
      <c r="F11" s="14">
        <f>[3]Physical_monthly!H11+[3]Physical_monthly!I11+[3]Physical_monthly!J11</f>
        <v>4184.6365619999997</v>
      </c>
      <c r="G11" s="14">
        <f>[3]Physical_monthly!K11+[3]Physical_monthly!L11+[3]Physical_monthly!M11</f>
        <v>4418.5777349999998</v>
      </c>
      <c r="H11" s="14">
        <f>[3]Physical_monthly!N11+[3]Physical_monthly!O11+[3]Physical_monthly!P11</f>
        <v>4298.4295949999996</v>
      </c>
      <c r="I11" s="14">
        <f>[3]Physical_monthly!Q11+[3]Physical_monthly!R11+[3]Physical_monthly!S11</f>
        <v>4849.5561079999998</v>
      </c>
      <c r="J11" s="14">
        <f>[3]Physical_monthly!T11+[3]Physical_monthly!U11+[3]Physical_monthly!V11</f>
        <v>4162.6316450000004</v>
      </c>
      <c r="K11" s="14">
        <f>[3]Physical_monthly!W11+[3]Physical_monthly!X11+[3]Physical_monthly!Y11</f>
        <v>4841.9410820000003</v>
      </c>
      <c r="L11" s="14">
        <f>[3]Physical_monthly!Z11+[3]Physical_monthly!AA11+[3]Physical_monthly!AB11</f>
        <v>4848.9266790000001</v>
      </c>
    </row>
    <row r="12" spans="1:12" ht="16.350000000000001" customHeight="1">
      <c r="B12" s="8" t="s">
        <v>111</v>
      </c>
      <c r="C12" s="19" t="s">
        <v>29</v>
      </c>
      <c r="D12" s="19"/>
      <c r="E12" s="14">
        <f>[3]Physical_monthly!E12+[3]Physical_monthly!F12+[3]Physical_monthly!G12</f>
        <v>312.80299500000001</v>
      </c>
      <c r="F12" s="14">
        <f>[3]Physical_monthly!H12+[3]Physical_monthly!I12+[3]Physical_monthly!J12</f>
        <v>1067.5401539999998</v>
      </c>
      <c r="G12" s="14">
        <f>[3]Physical_monthly!K12+[3]Physical_monthly!L12+[3]Physical_monthly!M12</f>
        <v>1972.5058389999999</v>
      </c>
      <c r="H12" s="14">
        <f>[3]Physical_monthly!N12+[3]Physical_monthly!O12+[3]Physical_monthly!P12</f>
        <v>232.929676</v>
      </c>
      <c r="I12" s="14">
        <f>[3]Physical_monthly!Q12+[3]Physical_monthly!R12+[3]Physical_monthly!S12</f>
        <v>267.39485999999999</v>
      </c>
      <c r="J12" s="14">
        <f>[3]Physical_monthly!T12+[3]Physical_monthly!U12+[3]Physical_monthly!V12</f>
        <v>812.52716999999996</v>
      </c>
      <c r="K12" s="14">
        <f>[3]Physical_monthly!W12+[3]Physical_monthly!X12+[3]Physical_monthly!Y12</f>
        <v>2151.100277</v>
      </c>
      <c r="L12" s="14">
        <f>[3]Physical_monthly!Z12+[3]Physical_monthly!AA12+[3]Physical_monthly!AB12</f>
        <v>637.7271659999999</v>
      </c>
    </row>
    <row r="13" spans="1:12" ht="16.350000000000001" customHeight="1">
      <c r="B13" s="18" t="s">
        <v>0</v>
      </c>
      <c r="C13" s="19" t="s">
        <v>29</v>
      </c>
      <c r="D13" s="21"/>
      <c r="E13" s="14">
        <f>E11+E12</f>
        <v>5215.9783600000001</v>
      </c>
      <c r="F13" s="14">
        <f t="shared" ref="F13:L13" si="1">F11+F12</f>
        <v>5252.1767159999999</v>
      </c>
      <c r="G13" s="14">
        <f t="shared" si="1"/>
        <v>6391.0835740000002</v>
      </c>
      <c r="H13" s="14">
        <f t="shared" si="1"/>
        <v>4531.3592709999994</v>
      </c>
      <c r="I13" s="14">
        <f t="shared" si="1"/>
        <v>5116.9509680000001</v>
      </c>
      <c r="J13" s="14">
        <f t="shared" si="1"/>
        <v>4975.1588150000007</v>
      </c>
      <c r="K13" s="14">
        <f t="shared" si="1"/>
        <v>6993.0413590000007</v>
      </c>
      <c r="L13" s="14">
        <f t="shared" si="1"/>
        <v>5486.6538449999998</v>
      </c>
    </row>
    <row r="14" spans="1:12" ht="16.350000000000001" customHeight="1">
      <c r="B14" s="15"/>
      <c r="C14" s="21"/>
      <c r="D14" s="21"/>
    </row>
    <row r="15" spans="1:12" s="17" customFormat="1" ht="15.75" customHeight="1" thickBot="1">
      <c r="A15" s="3" t="s">
        <v>107</v>
      </c>
      <c r="B15" s="5"/>
      <c r="C15" s="16" t="s">
        <v>27</v>
      </c>
      <c r="D15" s="16" t="s">
        <v>28</v>
      </c>
      <c r="E15" s="1" t="s">
        <v>21</v>
      </c>
      <c r="F15" s="2" t="s">
        <v>22</v>
      </c>
      <c r="G15" s="1" t="s">
        <v>25</v>
      </c>
      <c r="H15" s="2" t="s">
        <v>26</v>
      </c>
      <c r="I15" s="1" t="s">
        <v>91</v>
      </c>
      <c r="J15" s="2" t="s">
        <v>92</v>
      </c>
      <c r="K15" s="1" t="s">
        <v>88</v>
      </c>
      <c r="L15" s="1" t="s">
        <v>89</v>
      </c>
    </row>
    <row r="16" spans="1:12" ht="16.350000000000001" customHeight="1">
      <c r="B16" s="8" t="s">
        <v>146</v>
      </c>
      <c r="C16" s="19" t="s">
        <v>29</v>
      </c>
      <c r="D16" s="7"/>
      <c r="E16" s="7">
        <f>Physical_monthly!E16+Physical_monthly!F16+Physical_monthly!G16</f>
        <v>1.714731</v>
      </c>
      <c r="F16" s="7">
        <f>Physical_monthly!H16+Physical_monthly!I16+Physical_monthly!J16</f>
        <v>1.454636</v>
      </c>
      <c r="G16" s="7">
        <f>Physical_monthly!K16+Physical_monthly!L16+Physical_monthly!M16</f>
        <v>1.606331</v>
      </c>
      <c r="H16" s="7">
        <f>Physical_monthly!N16+Physical_monthly!O16+Physical_monthly!P16</f>
        <v>1.3035999999999999</v>
      </c>
      <c r="I16" s="7">
        <f>Physical_monthly!Q16+Physical_monthly!R16+Physical_monthly!S16</f>
        <v>1.7163010000000001</v>
      </c>
      <c r="J16" s="7">
        <f>Physical_monthly!T16+Physical_monthly!U16+Physical_monthly!V16</f>
        <v>1.481903</v>
      </c>
      <c r="K16" s="7">
        <f>Physical_monthly!W16+Physical_monthly!X16+Physical_monthly!Y16</f>
        <v>1.8905790000000002</v>
      </c>
      <c r="L16" s="7">
        <f>Physical_monthly!Z16+Physical_monthly!AA16+Physical_monthly!AB16</f>
        <v>1.5922999999999998</v>
      </c>
    </row>
    <row r="17" spans="1:12" ht="16.350000000000001" customHeight="1">
      <c r="B17" s="8" t="s">
        <v>108</v>
      </c>
      <c r="C17" s="19" t="s">
        <v>29</v>
      </c>
      <c r="D17" s="19"/>
      <c r="E17" s="7">
        <f>Physical_monthly!E17+Physical_monthly!F17+Physical_monthly!G17</f>
        <v>180.15399200000002</v>
      </c>
      <c r="F17" s="7">
        <f>Physical_monthly!H17+Physical_monthly!I17+Physical_monthly!J17</f>
        <v>196.29640499999999</v>
      </c>
      <c r="G17" s="7">
        <f>Physical_monthly!K17+Physical_monthly!L17+Physical_monthly!M17</f>
        <v>235.50905599999999</v>
      </c>
      <c r="H17" s="7">
        <f>Physical_monthly!N17+Physical_monthly!O17+Physical_monthly!P17</f>
        <v>151.08706799999999</v>
      </c>
      <c r="I17" s="7">
        <f>Physical_monthly!Q17+Physical_monthly!R17+Physical_monthly!S17</f>
        <v>167.38604700000002</v>
      </c>
      <c r="J17" s="7">
        <f>Physical_monthly!T17+Physical_monthly!U17+Physical_monthly!V17</f>
        <v>182.790143</v>
      </c>
      <c r="K17" s="7">
        <f>Physical_monthly!W17+Physical_monthly!X17+Physical_monthly!Y17</f>
        <v>250.84856600000001</v>
      </c>
      <c r="L17" s="7">
        <f>Physical_monthly!Z17+Physical_monthly!AA17+Physical_monthly!AB17</f>
        <v>171.56874499999998</v>
      </c>
    </row>
    <row r="18" spans="1:12" ht="16.350000000000001" customHeight="1">
      <c r="B18" s="8" t="s">
        <v>108</v>
      </c>
      <c r="C18" s="19" t="s">
        <v>83</v>
      </c>
      <c r="D18" s="19"/>
      <c r="E18" s="7">
        <f>E17/E8*100</f>
        <v>3.336691394785936</v>
      </c>
      <c r="F18" s="7">
        <f t="shared" ref="F18:L18" si="2">F17/F8*100</f>
        <v>3.6009480388606701</v>
      </c>
      <c r="G18" s="7">
        <f t="shared" si="2"/>
        <v>3.5523538334078175</v>
      </c>
      <c r="H18" s="7">
        <f t="shared" si="2"/>
        <v>3.2249088902442593</v>
      </c>
      <c r="I18" s="7">
        <f t="shared" si="2"/>
        <v>3.1665599454578039</v>
      </c>
      <c r="J18" s="7">
        <f t="shared" si="2"/>
        <v>3.5428354010349112</v>
      </c>
      <c r="K18" s="7">
        <f t="shared" si="2"/>
        <v>3.4528295221922445</v>
      </c>
      <c r="L18" s="7">
        <f t="shared" si="2"/>
        <v>3.0313490517708432</v>
      </c>
    </row>
    <row r="19" spans="1:12" s="17" customFormat="1" ht="15.75" customHeight="1" thickBot="1">
      <c r="A19" s="3" t="s">
        <v>119</v>
      </c>
      <c r="B19" s="5"/>
      <c r="C19" s="16" t="s">
        <v>27</v>
      </c>
      <c r="D19" s="16" t="s">
        <v>28</v>
      </c>
      <c r="E19" s="1">
        <v>2023</v>
      </c>
      <c r="F19" s="2">
        <v>2024</v>
      </c>
    </row>
    <row r="20" spans="1:12" ht="16.350000000000001" customHeight="1">
      <c r="B20" s="18" t="s">
        <v>120</v>
      </c>
      <c r="C20" s="19" t="s">
        <v>30</v>
      </c>
      <c r="D20" s="19"/>
      <c r="E20" s="14"/>
      <c r="F20" s="14"/>
    </row>
    <row r="21" spans="1:12" ht="16.350000000000001" customHeight="1">
      <c r="B21" s="18" t="s">
        <v>121</v>
      </c>
      <c r="C21" s="19" t="s">
        <v>30</v>
      </c>
      <c r="D21" s="19"/>
      <c r="E21" s="14"/>
      <c r="F21" s="14"/>
    </row>
    <row r="22" spans="1:12" ht="16.350000000000001" customHeight="1">
      <c r="B22" s="8" t="s">
        <v>122</v>
      </c>
      <c r="C22" s="19" t="s">
        <v>30</v>
      </c>
      <c r="D22" s="19"/>
      <c r="E22" s="14"/>
      <c r="F22" s="14"/>
    </row>
    <row r="23" spans="1:12" ht="16.350000000000001" customHeight="1">
      <c r="B23" s="8" t="s">
        <v>123</v>
      </c>
      <c r="C23" s="19" t="s">
        <v>30</v>
      </c>
      <c r="D23" s="19"/>
      <c r="E23" s="14"/>
      <c r="F23" s="14"/>
    </row>
    <row r="24" spans="1:12" ht="16.350000000000001" customHeight="1">
      <c r="B24" s="15"/>
      <c r="C24" s="21"/>
      <c r="D24" s="21"/>
    </row>
    <row r="25" spans="1:12" s="17" customFormat="1" ht="15.75" customHeight="1" thickBot="1">
      <c r="A25" s="3" t="s">
        <v>124</v>
      </c>
      <c r="B25" s="5"/>
      <c r="C25" s="16" t="s">
        <v>27</v>
      </c>
      <c r="D25" s="16" t="s">
        <v>28</v>
      </c>
      <c r="E25" s="1">
        <v>2023</v>
      </c>
      <c r="F25" s="2">
        <v>2024</v>
      </c>
    </row>
    <row r="26" spans="1:12" ht="16.350000000000001" customHeight="1">
      <c r="B26" s="18" t="s">
        <v>125</v>
      </c>
      <c r="C26" s="19" t="s">
        <v>30</v>
      </c>
      <c r="D26" s="19"/>
      <c r="E26" s="14"/>
      <c r="F26" s="14"/>
    </row>
    <row r="27" spans="1:12" ht="16.350000000000001" customHeight="1">
      <c r="B27" s="8" t="s">
        <v>126</v>
      </c>
      <c r="C27" s="19" t="s">
        <v>30</v>
      </c>
      <c r="D27" s="19"/>
      <c r="E27" s="14"/>
      <c r="F27" s="14"/>
    </row>
    <row r="28" spans="1:12" ht="16.350000000000001" customHeight="1">
      <c r="B28" s="8" t="s">
        <v>127</v>
      </c>
      <c r="C28" s="19" t="s">
        <v>30</v>
      </c>
      <c r="D28" s="19"/>
      <c r="E28" s="14"/>
      <c r="F28" s="14"/>
    </row>
    <row r="29" spans="1:12" ht="16.350000000000001" customHeight="1">
      <c r="B29" s="8" t="s">
        <v>128</v>
      </c>
      <c r="C29" s="19" t="s">
        <v>30</v>
      </c>
      <c r="D29" s="19"/>
      <c r="E29" s="14"/>
      <c r="F29" s="14"/>
    </row>
    <row r="30" spans="1:12" ht="16.350000000000001" customHeight="1">
      <c r="B30" s="8" t="s">
        <v>129</v>
      </c>
      <c r="C30" s="19" t="s">
        <v>30</v>
      </c>
      <c r="D30" s="19"/>
      <c r="E30" s="14"/>
      <c r="F30" s="14"/>
    </row>
    <row r="31" spans="1:12" ht="16.350000000000001" customHeight="1">
      <c r="B31" s="8" t="s">
        <v>130</v>
      </c>
      <c r="C31" s="19" t="s">
        <v>30</v>
      </c>
      <c r="D31" s="19"/>
      <c r="E31" s="14"/>
      <c r="F31" s="14"/>
    </row>
    <row r="32" spans="1:12" ht="16.350000000000001" customHeight="1">
      <c r="B32" s="8" t="s">
        <v>131</v>
      </c>
      <c r="C32" s="19" t="s">
        <v>30</v>
      </c>
      <c r="D32" s="19"/>
      <c r="E32" s="14"/>
      <c r="F32" s="14"/>
    </row>
    <row r="33" spans="1:6" ht="16.350000000000001" customHeight="1">
      <c r="B33" s="8" t="s">
        <v>132</v>
      </c>
      <c r="C33" s="19" t="s">
        <v>30</v>
      </c>
      <c r="D33" s="19"/>
      <c r="E33" s="14"/>
      <c r="F33" s="14"/>
    </row>
    <row r="34" spans="1:6" ht="16.350000000000001" customHeight="1">
      <c r="B34" s="8" t="s">
        <v>133</v>
      </c>
      <c r="C34" s="19" t="s">
        <v>30</v>
      </c>
      <c r="D34" s="24"/>
      <c r="E34" s="14"/>
      <c r="F34" s="14"/>
    </row>
    <row r="35" spans="1:6" ht="16.350000000000001" customHeight="1">
      <c r="B35" s="8" t="s">
        <v>134</v>
      </c>
      <c r="C35" s="19" t="s">
        <v>30</v>
      </c>
      <c r="D35" s="24"/>
      <c r="E35" s="14"/>
      <c r="F35" s="14"/>
    </row>
    <row r="36" spans="1:6" ht="16.350000000000001" customHeight="1">
      <c r="B36" s="8" t="s">
        <v>135</v>
      </c>
      <c r="C36" s="19" t="s">
        <v>30</v>
      </c>
      <c r="D36" s="24"/>
      <c r="E36" s="14"/>
      <c r="F36" s="14"/>
    </row>
    <row r="37" spans="1:6" ht="16.350000000000001" customHeight="1">
      <c r="B37" s="8" t="s">
        <v>136</v>
      </c>
      <c r="C37" s="19" t="s">
        <v>30</v>
      </c>
      <c r="D37" s="19"/>
      <c r="E37" s="14"/>
      <c r="F37" s="14"/>
    </row>
    <row r="38" spans="1:6" ht="16.350000000000001" customHeight="1">
      <c r="B38" s="8" t="s">
        <v>1</v>
      </c>
      <c r="C38" s="19" t="s">
        <v>30</v>
      </c>
      <c r="D38" s="19"/>
      <c r="E38" s="14"/>
      <c r="F38" s="14"/>
    </row>
    <row r="39" spans="1:6" ht="16.350000000000001" customHeight="1">
      <c r="B39" s="8" t="s">
        <v>0</v>
      </c>
      <c r="C39" s="19" t="s">
        <v>30</v>
      </c>
      <c r="D39" s="19"/>
      <c r="E39" s="20"/>
      <c r="F39" s="20"/>
    </row>
    <row r="40" spans="1:6" ht="16.350000000000001" customHeight="1">
      <c r="B40" s="15"/>
      <c r="C40" s="21"/>
      <c r="D40" s="21"/>
    </row>
    <row r="41" spans="1:6" s="17" customFormat="1" ht="15.75" customHeight="1" thickBot="1">
      <c r="A41" s="3" t="s">
        <v>137</v>
      </c>
      <c r="B41" s="5"/>
      <c r="C41" s="16" t="s">
        <v>27</v>
      </c>
      <c r="D41" s="16" t="s">
        <v>28</v>
      </c>
      <c r="E41" s="1">
        <v>2023</v>
      </c>
      <c r="F41" s="2">
        <v>2024</v>
      </c>
    </row>
    <row r="42" spans="1:6" ht="16.350000000000001" customHeight="1">
      <c r="B42" s="18" t="s">
        <v>125</v>
      </c>
      <c r="C42" s="19" t="s">
        <v>30</v>
      </c>
      <c r="D42" s="19"/>
      <c r="E42" s="14"/>
      <c r="F42" s="14"/>
    </row>
    <row r="43" spans="1:6" ht="16.350000000000001" customHeight="1">
      <c r="B43" s="8" t="s">
        <v>126</v>
      </c>
      <c r="C43" s="19" t="s">
        <v>30</v>
      </c>
      <c r="D43" s="19"/>
      <c r="E43" s="14"/>
      <c r="F43" s="14"/>
    </row>
    <row r="44" spans="1:6" ht="16.350000000000001" customHeight="1">
      <c r="B44" s="8" t="s">
        <v>127</v>
      </c>
      <c r="C44" s="19" t="s">
        <v>30</v>
      </c>
      <c r="D44" s="19"/>
      <c r="E44" s="14"/>
      <c r="F44" s="14"/>
    </row>
    <row r="45" spans="1:6" ht="16.350000000000001" customHeight="1">
      <c r="B45" s="8" t="s">
        <v>128</v>
      </c>
      <c r="C45" s="19" t="s">
        <v>30</v>
      </c>
      <c r="D45" s="19"/>
      <c r="E45" s="14"/>
      <c r="F45" s="14"/>
    </row>
    <row r="46" spans="1:6" ht="16.350000000000001" customHeight="1">
      <c r="B46" s="8" t="s">
        <v>129</v>
      </c>
      <c r="C46" s="19" t="s">
        <v>30</v>
      </c>
      <c r="D46" s="19"/>
      <c r="E46" s="14"/>
      <c r="F46" s="14"/>
    </row>
    <row r="47" spans="1:6" ht="16.350000000000001" customHeight="1">
      <c r="B47" s="8" t="s">
        <v>130</v>
      </c>
      <c r="C47" s="19" t="s">
        <v>30</v>
      </c>
      <c r="D47" s="19"/>
      <c r="E47" s="14"/>
      <c r="F47" s="14"/>
    </row>
    <row r="48" spans="1:6" ht="16.350000000000001" customHeight="1">
      <c r="B48" s="8" t="s">
        <v>131</v>
      </c>
      <c r="C48" s="19" t="s">
        <v>30</v>
      </c>
      <c r="D48" s="19"/>
      <c r="E48" s="14"/>
      <c r="F48" s="14"/>
    </row>
    <row r="49" spans="1:6" ht="16.350000000000001" customHeight="1">
      <c r="B49" s="8" t="s">
        <v>132</v>
      </c>
      <c r="C49" s="19" t="s">
        <v>30</v>
      </c>
      <c r="D49" s="19"/>
      <c r="E49" s="14"/>
      <c r="F49" s="14"/>
    </row>
    <row r="50" spans="1:6" ht="16.350000000000001" customHeight="1">
      <c r="B50" s="8" t="s">
        <v>133</v>
      </c>
      <c r="C50" s="19" t="s">
        <v>30</v>
      </c>
      <c r="D50" s="24"/>
      <c r="E50" s="14"/>
      <c r="F50" s="14"/>
    </row>
    <row r="51" spans="1:6" ht="16.350000000000001" customHeight="1">
      <c r="B51" s="8" t="s">
        <v>134</v>
      </c>
      <c r="C51" s="19" t="s">
        <v>30</v>
      </c>
      <c r="D51" s="24"/>
      <c r="E51" s="14"/>
      <c r="F51" s="14"/>
    </row>
    <row r="52" spans="1:6" ht="16.350000000000001" customHeight="1">
      <c r="B52" s="8" t="s">
        <v>135</v>
      </c>
      <c r="C52" s="19" t="s">
        <v>30</v>
      </c>
      <c r="D52" s="24"/>
      <c r="E52" s="14"/>
      <c r="F52" s="14"/>
    </row>
    <row r="53" spans="1:6" ht="16.350000000000001" customHeight="1">
      <c r="B53" s="8" t="s">
        <v>136</v>
      </c>
      <c r="C53" s="19" t="s">
        <v>30</v>
      </c>
      <c r="D53" s="19"/>
      <c r="E53" s="14"/>
      <c r="F53" s="14"/>
    </row>
    <row r="54" spans="1:6" ht="16.350000000000001" customHeight="1">
      <c r="B54" s="8" t="s">
        <v>1</v>
      </c>
      <c r="C54" s="19" t="s">
        <v>30</v>
      </c>
      <c r="D54" s="19"/>
      <c r="E54" s="14"/>
      <c r="F54" s="14"/>
    </row>
    <row r="55" spans="1:6" ht="16.350000000000001" customHeight="1">
      <c r="B55" s="8" t="s">
        <v>0</v>
      </c>
      <c r="C55" s="19" t="s">
        <v>30</v>
      </c>
      <c r="D55" s="19"/>
      <c r="E55" s="20"/>
      <c r="F55" s="20"/>
    </row>
    <row r="56" spans="1:6" ht="16.149999999999999" customHeight="1">
      <c r="B56" s="15"/>
      <c r="C56" s="21"/>
      <c r="D56" s="21"/>
    </row>
    <row r="57" spans="1:6" s="17" customFormat="1" ht="15.75" customHeight="1" thickBot="1">
      <c r="A57" s="3" t="s">
        <v>138</v>
      </c>
      <c r="B57" s="5"/>
      <c r="C57" s="16" t="s">
        <v>27</v>
      </c>
      <c r="D57" s="16" t="s">
        <v>28</v>
      </c>
      <c r="E57" s="1">
        <v>2023</v>
      </c>
      <c r="F57" s="2">
        <v>2024</v>
      </c>
    </row>
    <row r="58" spans="1:6" ht="16.350000000000001" customHeight="1">
      <c r="B58" s="18" t="s">
        <v>139</v>
      </c>
      <c r="C58" s="19" t="s">
        <v>30</v>
      </c>
      <c r="D58" s="19"/>
      <c r="E58" s="14"/>
      <c r="F58" s="14"/>
    </row>
    <row r="59" spans="1:6" ht="16.350000000000001" customHeight="1">
      <c r="B59" s="8" t="s">
        <v>140</v>
      </c>
      <c r="C59" s="19" t="s">
        <v>30</v>
      </c>
      <c r="D59" s="19"/>
      <c r="E59" s="14"/>
      <c r="F59" s="14"/>
    </row>
    <row r="60" spans="1:6" ht="16.350000000000001" customHeight="1">
      <c r="B60" s="8" t="s">
        <v>141</v>
      </c>
      <c r="C60" s="19" t="s">
        <v>30</v>
      </c>
      <c r="D60" s="19"/>
      <c r="E60" s="14"/>
      <c r="F60" s="14"/>
    </row>
    <row r="61" spans="1:6" ht="16.350000000000001" customHeight="1">
      <c r="B61" s="8" t="s">
        <v>142</v>
      </c>
      <c r="C61" s="19" t="s">
        <v>30</v>
      </c>
      <c r="D61" s="19"/>
      <c r="E61" s="14"/>
      <c r="F61" s="14"/>
    </row>
    <row r="62" spans="1:6" ht="16.350000000000001" customHeight="1">
      <c r="B62" s="8" t="s">
        <v>143</v>
      </c>
      <c r="C62" s="19" t="s">
        <v>30</v>
      </c>
      <c r="D62" s="19"/>
      <c r="E62" s="14"/>
      <c r="F62" s="14"/>
    </row>
    <row r="63" spans="1:6" ht="16.350000000000001" customHeight="1">
      <c r="B63" s="8" t="s">
        <v>144</v>
      </c>
      <c r="C63" s="19" t="s">
        <v>30</v>
      </c>
      <c r="D63" s="19"/>
      <c r="E63" s="14"/>
      <c r="F63" s="14"/>
    </row>
    <row r="64" spans="1:6" ht="16.350000000000001" customHeight="1">
      <c r="B64" s="8" t="s">
        <v>145</v>
      </c>
      <c r="C64" s="19" t="s">
        <v>30</v>
      </c>
      <c r="D64" s="19"/>
      <c r="E64" s="14"/>
      <c r="F64" s="14"/>
    </row>
    <row r="65" spans="2:6" ht="16.350000000000001" customHeight="1">
      <c r="B65" s="8" t="s">
        <v>136</v>
      </c>
      <c r="C65" s="19" t="s">
        <v>30</v>
      </c>
      <c r="D65" s="19"/>
      <c r="E65" s="14"/>
      <c r="F65" s="14"/>
    </row>
    <row r="66" spans="2:6" ht="16.350000000000001" customHeight="1">
      <c r="B66" s="8" t="s">
        <v>1</v>
      </c>
      <c r="C66" s="19" t="s">
        <v>30</v>
      </c>
      <c r="D66" s="19"/>
      <c r="E66" s="14"/>
      <c r="F66" s="14"/>
    </row>
    <row r="67" spans="2:6" ht="16.350000000000001" customHeight="1">
      <c r="B67" s="8" t="s">
        <v>0</v>
      </c>
      <c r="C67" s="19" t="s">
        <v>30</v>
      </c>
      <c r="D67" s="19"/>
      <c r="E67" s="20"/>
      <c r="F67" s="20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AB67"/>
  <sheetViews>
    <sheetView topLeftCell="M1" zoomScale="80" zoomScaleNormal="80" workbookViewId="0">
      <selection activeCell="Y8" sqref="Y8"/>
    </sheetView>
  </sheetViews>
  <sheetFormatPr defaultColWidth="8" defaultRowHeight="12.75"/>
  <cols>
    <col min="1" max="1" width="8" style="7"/>
    <col min="2" max="2" width="39.7109375" style="22" customWidth="1"/>
    <col min="3" max="4" width="7.7109375" style="23" customWidth="1"/>
    <col min="5" max="16" width="7.7109375" style="7" customWidth="1"/>
    <col min="17" max="16384" width="8" style="7"/>
  </cols>
  <sheetData>
    <row r="1" spans="1:28" s="17" customFormat="1" ht="15.75" customHeight="1" thickBot="1">
      <c r="A1" s="3" t="s">
        <v>102</v>
      </c>
      <c r="B1" s="5"/>
      <c r="C1" s="16" t="s">
        <v>27</v>
      </c>
      <c r="D1" s="16" t="s">
        <v>28</v>
      </c>
      <c r="E1" s="6">
        <v>44927</v>
      </c>
      <c r="F1" s="6">
        <v>44958</v>
      </c>
      <c r="G1" s="6">
        <v>44986</v>
      </c>
      <c r="H1" s="6">
        <v>45017</v>
      </c>
      <c r="I1" s="6">
        <v>45047</v>
      </c>
      <c r="J1" s="6">
        <v>45078</v>
      </c>
      <c r="K1" s="6">
        <v>45108</v>
      </c>
      <c r="L1" s="6">
        <v>45139</v>
      </c>
      <c r="M1" s="6">
        <v>45170</v>
      </c>
      <c r="N1" s="6">
        <v>45200</v>
      </c>
      <c r="O1" s="6">
        <v>45231</v>
      </c>
      <c r="P1" s="6">
        <v>45261</v>
      </c>
      <c r="Q1" s="6">
        <v>45292</v>
      </c>
      <c r="R1" s="6">
        <v>45323</v>
      </c>
      <c r="S1" s="6">
        <v>45352</v>
      </c>
      <c r="T1" s="6">
        <v>45383</v>
      </c>
      <c r="U1" s="6">
        <v>45413</v>
      </c>
      <c r="V1" s="6">
        <v>45444</v>
      </c>
      <c r="W1" s="6">
        <v>45474</v>
      </c>
      <c r="X1" s="6">
        <v>45505</v>
      </c>
      <c r="Y1" s="6">
        <v>45536</v>
      </c>
      <c r="Z1" s="6">
        <v>45566</v>
      </c>
      <c r="AA1" s="6">
        <v>45597</v>
      </c>
      <c r="AB1" s="6">
        <v>45627</v>
      </c>
    </row>
    <row r="2" spans="1:28" ht="16.350000000000001" customHeight="1">
      <c r="B2" s="18" t="s">
        <v>103</v>
      </c>
      <c r="C2" s="19" t="s">
        <v>30</v>
      </c>
      <c r="D2" s="19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28" ht="16.350000000000001" customHeight="1">
      <c r="B3" s="18" t="s">
        <v>104</v>
      </c>
      <c r="C3" s="19" t="s">
        <v>30</v>
      </c>
      <c r="D3" s="21"/>
    </row>
    <row r="4" spans="1:28" ht="16.350000000000001" customHeight="1">
      <c r="B4" s="15"/>
      <c r="C4" s="21"/>
      <c r="D4" s="21"/>
    </row>
    <row r="5" spans="1:28" s="17" customFormat="1" ht="15.75" customHeight="1" thickBot="1">
      <c r="A5" s="3" t="s">
        <v>100</v>
      </c>
      <c r="B5" s="5"/>
      <c r="C5" s="16" t="s">
        <v>27</v>
      </c>
      <c r="D5" s="16" t="s">
        <v>28</v>
      </c>
      <c r="E5" s="6">
        <v>44927</v>
      </c>
      <c r="F5" s="6">
        <v>44958</v>
      </c>
      <c r="G5" s="6">
        <v>44986</v>
      </c>
      <c r="H5" s="6">
        <v>45017</v>
      </c>
      <c r="I5" s="6">
        <v>45047</v>
      </c>
      <c r="J5" s="6">
        <v>45078</v>
      </c>
      <c r="K5" s="6">
        <v>45108</v>
      </c>
      <c r="L5" s="6">
        <v>45139</v>
      </c>
      <c r="M5" s="6">
        <v>45170</v>
      </c>
      <c r="N5" s="6">
        <v>45200</v>
      </c>
      <c r="O5" s="6">
        <v>45231</v>
      </c>
      <c r="P5" s="6">
        <v>45261</v>
      </c>
      <c r="Q5" s="6">
        <v>45292</v>
      </c>
      <c r="R5" s="6">
        <v>45323</v>
      </c>
      <c r="S5" s="6">
        <v>45352</v>
      </c>
      <c r="T5" s="6">
        <v>45383</v>
      </c>
      <c r="U5" s="6">
        <v>45413</v>
      </c>
      <c r="V5" s="6">
        <v>45444</v>
      </c>
      <c r="W5" s="6">
        <v>45474</v>
      </c>
      <c r="X5" s="6">
        <v>45505</v>
      </c>
      <c r="Y5" s="6">
        <v>45536</v>
      </c>
      <c r="Z5" s="6">
        <v>45566</v>
      </c>
      <c r="AA5" s="6">
        <v>45597</v>
      </c>
      <c r="AB5" s="6">
        <v>45627</v>
      </c>
    </row>
    <row r="6" spans="1:28" ht="16.350000000000001" customHeight="1">
      <c r="B6" s="8" t="s">
        <v>101</v>
      </c>
      <c r="C6" s="19" t="s">
        <v>29</v>
      </c>
      <c r="D6" s="19"/>
      <c r="E6" s="14">
        <v>1806.7243599999999</v>
      </c>
      <c r="F6" s="14">
        <v>1197.47478</v>
      </c>
      <c r="G6" s="14">
        <v>971.27464999999995</v>
      </c>
      <c r="H6" s="14">
        <v>938.38305000000003</v>
      </c>
      <c r="I6" s="14">
        <v>1304.7447099999999</v>
      </c>
      <c r="J6" s="14">
        <v>1454.3039699999999</v>
      </c>
      <c r="K6" s="14">
        <v>1708.2131199999999</v>
      </c>
      <c r="L6" s="14">
        <v>1860.3357699999999</v>
      </c>
      <c r="M6" s="14">
        <v>1415.64365</v>
      </c>
      <c r="N6" s="14">
        <v>860.96154000000001</v>
      </c>
      <c r="O6" s="14">
        <v>1092.60186</v>
      </c>
      <c r="P6" s="14">
        <v>1498.9625699999999</v>
      </c>
      <c r="Q6" s="7">
        <v>1507.04213</v>
      </c>
      <c r="R6" s="7">
        <v>1443.4464399999999</v>
      </c>
      <c r="S6" s="7">
        <v>1032.0432900000001</v>
      </c>
      <c r="T6" s="7">
        <v>890.22843</v>
      </c>
      <c r="U6" s="7">
        <v>1248.02007</v>
      </c>
      <c r="V6" s="7">
        <v>1607.0501099999999</v>
      </c>
      <c r="W6" s="7">
        <v>1979.8994</v>
      </c>
      <c r="X6" s="7">
        <v>2123.0911799999999</v>
      </c>
      <c r="Y6" s="7">
        <v>1378.89086</v>
      </c>
      <c r="Z6" s="7">
        <v>973.73245999999995</v>
      </c>
      <c r="AA6" s="7">
        <v>1177.6124440000001</v>
      </c>
      <c r="AB6" s="7">
        <v>1649.1749600000001</v>
      </c>
    </row>
    <row r="7" spans="1:28" ht="16.350000000000001" customHeight="1">
      <c r="B7" s="8" t="s">
        <v>110</v>
      </c>
      <c r="C7" s="19" t="s">
        <v>29</v>
      </c>
      <c r="D7" s="24"/>
      <c r="E7" s="7">
        <v>550.61904800000002</v>
      </c>
      <c r="F7" s="7">
        <v>431.39676100000003</v>
      </c>
      <c r="G7" s="7">
        <v>441.69092699999999</v>
      </c>
      <c r="H7" s="7">
        <v>451.776972</v>
      </c>
      <c r="I7" s="7">
        <v>627.29274599999997</v>
      </c>
      <c r="J7" s="7">
        <v>674.74091599999997</v>
      </c>
      <c r="K7" s="7">
        <v>604.24195599999996</v>
      </c>
      <c r="L7" s="7">
        <v>490.01812699999999</v>
      </c>
      <c r="M7" s="7">
        <v>551.20948399999997</v>
      </c>
      <c r="N7" s="7">
        <v>370.395669</v>
      </c>
      <c r="O7" s="7">
        <v>390.25943000000001</v>
      </c>
      <c r="P7" s="7">
        <v>471.82161300000001</v>
      </c>
      <c r="Q7" s="7">
        <v>454.95388700000001</v>
      </c>
      <c r="R7" s="7">
        <v>438.13490300000001</v>
      </c>
      <c r="S7" s="7">
        <v>410.43266599999998</v>
      </c>
      <c r="T7" s="7">
        <v>420.87718599999999</v>
      </c>
      <c r="U7" s="7">
        <v>468.35524700000002</v>
      </c>
      <c r="V7" s="7">
        <v>524.89981699999998</v>
      </c>
      <c r="W7" s="7">
        <v>656.89505199999996</v>
      </c>
      <c r="X7" s="7">
        <v>587.92870300000004</v>
      </c>
      <c r="Y7" s="7">
        <v>519.46608900000001</v>
      </c>
      <c r="Z7" s="7">
        <v>511.23734100000001</v>
      </c>
      <c r="AA7" s="7">
        <v>617.31328599999995</v>
      </c>
      <c r="AB7" s="7">
        <v>730.74439900000004</v>
      </c>
    </row>
    <row r="8" spans="1:28" ht="16.350000000000001" customHeight="1">
      <c r="B8" s="18" t="s">
        <v>0</v>
      </c>
      <c r="C8" s="19" t="s">
        <v>29</v>
      </c>
      <c r="D8" s="21"/>
      <c r="E8" s="14">
        <f>E6+E7</f>
        <v>2357.3434079999997</v>
      </c>
      <c r="F8" s="14">
        <f t="shared" ref="F8:AB8" si="0">F6+F7</f>
        <v>1628.871541</v>
      </c>
      <c r="G8" s="14">
        <f t="shared" si="0"/>
        <v>1412.9655769999999</v>
      </c>
      <c r="H8" s="14">
        <f t="shared" si="0"/>
        <v>1390.160022</v>
      </c>
      <c r="I8" s="14">
        <f t="shared" si="0"/>
        <v>1932.037456</v>
      </c>
      <c r="J8" s="14">
        <f t="shared" si="0"/>
        <v>2129.0448859999997</v>
      </c>
      <c r="K8" s="14">
        <f t="shared" si="0"/>
        <v>2312.4550759999997</v>
      </c>
      <c r="L8" s="14">
        <f t="shared" si="0"/>
        <v>2350.353897</v>
      </c>
      <c r="M8" s="14">
        <f t="shared" si="0"/>
        <v>1966.853134</v>
      </c>
      <c r="N8" s="14">
        <f t="shared" si="0"/>
        <v>1231.357209</v>
      </c>
      <c r="O8" s="14">
        <f t="shared" si="0"/>
        <v>1482.8612900000001</v>
      </c>
      <c r="P8" s="14">
        <f t="shared" si="0"/>
        <v>1970.784183</v>
      </c>
      <c r="Q8" s="14">
        <f t="shared" si="0"/>
        <v>1961.9960169999999</v>
      </c>
      <c r="R8" s="14">
        <f t="shared" si="0"/>
        <v>1881.5813429999998</v>
      </c>
      <c r="S8" s="14">
        <f t="shared" si="0"/>
        <v>1442.475956</v>
      </c>
      <c r="T8" s="14">
        <f t="shared" si="0"/>
        <v>1311.1056160000001</v>
      </c>
      <c r="U8" s="14">
        <f t="shared" si="0"/>
        <v>1716.375317</v>
      </c>
      <c r="V8" s="14">
        <f t="shared" si="0"/>
        <v>2131.9499269999997</v>
      </c>
      <c r="W8" s="14">
        <f t="shared" si="0"/>
        <v>2636.7944520000001</v>
      </c>
      <c r="X8" s="14">
        <f t="shared" si="0"/>
        <v>2711.0198829999999</v>
      </c>
      <c r="Y8" s="14">
        <f t="shared" si="0"/>
        <v>1898.356949</v>
      </c>
      <c r="Z8" s="14">
        <f t="shared" si="0"/>
        <v>1484.969801</v>
      </c>
      <c r="AA8" s="14">
        <f t="shared" si="0"/>
        <v>1794.9257299999999</v>
      </c>
      <c r="AB8" s="14">
        <f t="shared" si="0"/>
        <v>2379.919359</v>
      </c>
    </row>
    <row r="9" spans="1:28" ht="16.350000000000001" customHeight="1">
      <c r="B9" s="15"/>
      <c r="C9" s="21"/>
      <c r="D9" s="21"/>
    </row>
    <row r="10" spans="1:28" s="17" customFormat="1" ht="15.75" customHeight="1" thickBot="1">
      <c r="A10" s="3" t="s">
        <v>105</v>
      </c>
      <c r="B10" s="5"/>
      <c r="C10" s="16" t="s">
        <v>27</v>
      </c>
      <c r="D10" s="16" t="s">
        <v>28</v>
      </c>
      <c r="E10" s="6">
        <v>44927</v>
      </c>
      <c r="F10" s="6">
        <v>44958</v>
      </c>
      <c r="G10" s="6">
        <v>44986</v>
      </c>
      <c r="H10" s="6">
        <v>45017</v>
      </c>
      <c r="I10" s="6">
        <v>45047</v>
      </c>
      <c r="J10" s="6">
        <v>45078</v>
      </c>
      <c r="K10" s="6">
        <v>45108</v>
      </c>
      <c r="L10" s="6">
        <v>45139</v>
      </c>
      <c r="M10" s="6">
        <v>45170</v>
      </c>
      <c r="N10" s="6">
        <v>45200</v>
      </c>
      <c r="O10" s="6">
        <v>45231</v>
      </c>
      <c r="P10" s="6">
        <v>45261</v>
      </c>
      <c r="Q10" s="6">
        <v>45292</v>
      </c>
      <c r="R10" s="6">
        <v>45323</v>
      </c>
      <c r="S10" s="6">
        <v>45352</v>
      </c>
      <c r="T10" s="6">
        <v>45383</v>
      </c>
      <c r="U10" s="6">
        <v>45413</v>
      </c>
      <c r="V10" s="6">
        <v>45444</v>
      </c>
      <c r="W10" s="6">
        <v>45474</v>
      </c>
      <c r="X10" s="6">
        <v>45505</v>
      </c>
      <c r="Y10" s="6">
        <v>45536</v>
      </c>
      <c r="Z10" s="6">
        <v>45566</v>
      </c>
      <c r="AA10" s="6">
        <v>45597</v>
      </c>
      <c r="AB10" s="6">
        <v>45627</v>
      </c>
    </row>
    <row r="11" spans="1:28" ht="16.350000000000001" customHeight="1">
      <c r="B11" s="8" t="s">
        <v>106</v>
      </c>
      <c r="C11" s="19" t="s">
        <v>29</v>
      </c>
      <c r="D11" s="19"/>
      <c r="E11" s="14">
        <v>2127.5939509999998</v>
      </c>
      <c r="F11" s="14">
        <v>1474.770765</v>
      </c>
      <c r="G11" s="14">
        <v>1302.146092</v>
      </c>
      <c r="H11" s="14">
        <v>1301.3202879999999</v>
      </c>
      <c r="I11" s="14">
        <v>1388.8984190000001</v>
      </c>
      <c r="J11" s="14">
        <v>1495.7324619999999</v>
      </c>
      <c r="K11" s="14">
        <v>1611.8267470000001</v>
      </c>
      <c r="L11" s="14">
        <v>1523.76214</v>
      </c>
      <c r="M11" s="14">
        <v>1284.451994</v>
      </c>
      <c r="N11" s="14">
        <v>1137.0678740000001</v>
      </c>
      <c r="O11" s="14">
        <v>1358.946899</v>
      </c>
      <c r="P11" s="14">
        <v>1803.6675749999999</v>
      </c>
      <c r="Q11" s="7">
        <v>1806.2233650000001</v>
      </c>
      <c r="R11" s="7">
        <v>1719.4972330000001</v>
      </c>
      <c r="S11" s="7">
        <v>1323.8355100000001</v>
      </c>
      <c r="T11" s="7">
        <v>1212.770031</v>
      </c>
      <c r="U11" s="7">
        <v>1408.6100180000001</v>
      </c>
      <c r="V11" s="7">
        <v>1541.2515960000001</v>
      </c>
      <c r="W11" s="7">
        <v>1753.5247240000001</v>
      </c>
      <c r="X11" s="7">
        <v>1731.349755</v>
      </c>
      <c r="Y11" s="7">
        <v>1357.066603</v>
      </c>
      <c r="Z11" s="7">
        <v>1269.4114750000001</v>
      </c>
      <c r="AA11" s="7">
        <v>1560.4612299999999</v>
      </c>
      <c r="AB11" s="7">
        <v>2019.0539739999999</v>
      </c>
    </row>
    <row r="12" spans="1:28" ht="16.350000000000001" customHeight="1">
      <c r="B12" s="8" t="s">
        <v>111</v>
      </c>
      <c r="C12" s="19" t="s">
        <v>29</v>
      </c>
      <c r="D12" s="19"/>
      <c r="E12" s="7">
        <v>143.952448</v>
      </c>
      <c r="F12" s="7">
        <v>99.616006999999996</v>
      </c>
      <c r="G12" s="7">
        <v>69.234539999999996</v>
      </c>
      <c r="H12" s="7">
        <v>38.248164000000003</v>
      </c>
      <c r="I12" s="7">
        <v>471.78197999999998</v>
      </c>
      <c r="J12" s="7">
        <v>557.51000999999997</v>
      </c>
      <c r="K12" s="7">
        <v>614.69566999999995</v>
      </c>
      <c r="L12" s="7">
        <v>742.50629300000003</v>
      </c>
      <c r="M12" s="7">
        <v>615.30387599999995</v>
      </c>
      <c r="N12" s="7">
        <v>51.138030000000001</v>
      </c>
      <c r="O12" s="7">
        <v>76.747106000000002</v>
      </c>
      <c r="P12" s="7">
        <v>105.04454</v>
      </c>
      <c r="Q12" s="7">
        <v>91.412090000000006</v>
      </c>
      <c r="R12" s="7">
        <v>101.10119</v>
      </c>
      <c r="S12" s="7">
        <v>74.88158</v>
      </c>
      <c r="T12" s="7">
        <v>58.00647</v>
      </c>
      <c r="U12" s="7">
        <v>243.47140999999999</v>
      </c>
      <c r="V12" s="7">
        <v>511.04928999999998</v>
      </c>
      <c r="W12" s="7">
        <v>788.2328</v>
      </c>
      <c r="X12" s="7">
        <v>886.56029000000001</v>
      </c>
      <c r="Y12" s="7">
        <v>476.307187</v>
      </c>
      <c r="Z12" s="7">
        <v>169.264363</v>
      </c>
      <c r="AA12" s="7">
        <v>181.524193</v>
      </c>
      <c r="AB12" s="7">
        <v>286.93860999999998</v>
      </c>
    </row>
    <row r="13" spans="1:28" ht="16.350000000000001" customHeight="1">
      <c r="B13" s="18" t="s">
        <v>0</v>
      </c>
      <c r="C13" s="19" t="s">
        <v>29</v>
      </c>
      <c r="D13" s="21"/>
      <c r="E13" s="14">
        <f>E11+E12</f>
        <v>2271.5463989999998</v>
      </c>
      <c r="F13" s="14">
        <f t="shared" ref="F13:AB13" si="1">F11+F12</f>
        <v>1574.3867720000001</v>
      </c>
      <c r="G13" s="14">
        <f t="shared" si="1"/>
        <v>1371.3806319999999</v>
      </c>
      <c r="H13" s="14">
        <f t="shared" si="1"/>
        <v>1339.568452</v>
      </c>
      <c r="I13" s="14">
        <f t="shared" si="1"/>
        <v>1860.6803990000001</v>
      </c>
      <c r="J13" s="14">
        <f t="shared" si="1"/>
        <v>2053.2424719999999</v>
      </c>
      <c r="K13" s="14">
        <f t="shared" si="1"/>
        <v>2226.5224170000001</v>
      </c>
      <c r="L13" s="14">
        <f t="shared" si="1"/>
        <v>2266.2684330000002</v>
      </c>
      <c r="M13" s="14">
        <f t="shared" si="1"/>
        <v>1899.75587</v>
      </c>
      <c r="N13" s="14">
        <f t="shared" si="1"/>
        <v>1188.2059040000001</v>
      </c>
      <c r="O13" s="14">
        <f t="shared" si="1"/>
        <v>1435.6940050000001</v>
      </c>
      <c r="P13" s="14">
        <f t="shared" si="1"/>
        <v>1908.712115</v>
      </c>
      <c r="Q13" s="14">
        <f t="shared" si="1"/>
        <v>1897.6354550000001</v>
      </c>
      <c r="R13" s="14">
        <f t="shared" si="1"/>
        <v>1820.5984230000001</v>
      </c>
      <c r="S13" s="14">
        <f t="shared" si="1"/>
        <v>1398.7170900000001</v>
      </c>
      <c r="T13" s="14">
        <f t="shared" si="1"/>
        <v>1270.7765010000001</v>
      </c>
      <c r="U13" s="14">
        <f t="shared" si="1"/>
        <v>1652.081428</v>
      </c>
      <c r="V13" s="14">
        <f t="shared" si="1"/>
        <v>2052.300886</v>
      </c>
      <c r="W13" s="14">
        <f t="shared" si="1"/>
        <v>2541.7575240000001</v>
      </c>
      <c r="X13" s="14">
        <f t="shared" si="1"/>
        <v>2617.9100450000001</v>
      </c>
      <c r="Y13" s="14">
        <f t="shared" si="1"/>
        <v>1833.3737900000001</v>
      </c>
      <c r="Z13" s="14">
        <f t="shared" si="1"/>
        <v>1438.6758380000001</v>
      </c>
      <c r="AA13" s="14">
        <f t="shared" si="1"/>
        <v>1741.9854229999999</v>
      </c>
      <c r="AB13" s="14">
        <f t="shared" si="1"/>
        <v>2305.9925840000001</v>
      </c>
    </row>
    <row r="14" spans="1:28" ht="16.350000000000001" customHeight="1">
      <c r="B14" s="15"/>
      <c r="C14" s="21"/>
      <c r="D14" s="21"/>
    </row>
    <row r="15" spans="1:28" s="17" customFormat="1" ht="15.75" customHeight="1" thickBot="1">
      <c r="A15" s="3" t="s">
        <v>107</v>
      </c>
      <c r="B15" s="5"/>
      <c r="C15" s="16" t="s">
        <v>27</v>
      </c>
      <c r="D15" s="16" t="s">
        <v>28</v>
      </c>
      <c r="E15" s="6">
        <v>44927</v>
      </c>
      <c r="F15" s="6">
        <v>44958</v>
      </c>
      <c r="G15" s="6">
        <v>44986</v>
      </c>
      <c r="H15" s="6">
        <v>45017</v>
      </c>
      <c r="I15" s="6">
        <v>45047</v>
      </c>
      <c r="J15" s="6">
        <v>45078</v>
      </c>
      <c r="K15" s="6">
        <v>45108</v>
      </c>
      <c r="L15" s="6">
        <v>45139</v>
      </c>
      <c r="M15" s="6">
        <v>45170</v>
      </c>
      <c r="N15" s="6">
        <v>45200</v>
      </c>
      <c r="O15" s="6">
        <v>45231</v>
      </c>
      <c r="P15" s="6">
        <v>45261</v>
      </c>
      <c r="Q15" s="6">
        <v>45292</v>
      </c>
      <c r="R15" s="6">
        <v>45323</v>
      </c>
      <c r="S15" s="6">
        <v>45352</v>
      </c>
      <c r="T15" s="6">
        <v>45383</v>
      </c>
      <c r="U15" s="6">
        <v>45413</v>
      </c>
      <c r="V15" s="6">
        <v>45444</v>
      </c>
      <c r="W15" s="6">
        <v>45474</v>
      </c>
      <c r="X15" s="6">
        <v>45505</v>
      </c>
      <c r="Y15" s="6">
        <v>45536</v>
      </c>
      <c r="Z15" s="6">
        <v>45566</v>
      </c>
      <c r="AA15" s="6">
        <v>45597</v>
      </c>
      <c r="AB15" s="6">
        <v>45627</v>
      </c>
    </row>
    <row r="16" spans="1:28" ht="16.350000000000001" customHeight="1">
      <c r="B16" s="8" t="s">
        <v>146</v>
      </c>
      <c r="C16" s="19" t="s">
        <v>29</v>
      </c>
      <c r="D16" s="19"/>
      <c r="E16" s="14">
        <v>0.70904299999999998</v>
      </c>
      <c r="F16" s="14">
        <v>0.56094500000000003</v>
      </c>
      <c r="G16" s="14">
        <v>0.444743</v>
      </c>
      <c r="H16" s="14">
        <v>0.41234599999999999</v>
      </c>
      <c r="I16" s="14">
        <v>0.42632399999999998</v>
      </c>
      <c r="J16" s="14">
        <v>0.61596600000000001</v>
      </c>
      <c r="K16" s="14">
        <v>0.63731300000000002</v>
      </c>
      <c r="L16" s="14">
        <v>0.53507499999999997</v>
      </c>
      <c r="M16" s="14">
        <v>0.43394300000000002</v>
      </c>
      <c r="N16" s="14">
        <v>0.34600599999999998</v>
      </c>
      <c r="O16" s="14">
        <v>0.401148</v>
      </c>
      <c r="P16" s="14">
        <v>0.556446</v>
      </c>
      <c r="Q16" s="7">
        <v>0.606456</v>
      </c>
      <c r="R16" s="7">
        <v>0.55613500000000005</v>
      </c>
      <c r="S16" s="7">
        <v>0.55371000000000004</v>
      </c>
      <c r="T16" s="7">
        <v>0.40948499999999999</v>
      </c>
      <c r="U16" s="7">
        <v>0.452571</v>
      </c>
      <c r="V16" s="7">
        <v>0.61984700000000004</v>
      </c>
      <c r="W16" s="7">
        <v>0.69611900000000004</v>
      </c>
      <c r="X16" s="7">
        <v>0.69391899999999995</v>
      </c>
      <c r="Y16" s="7">
        <v>0.50054100000000001</v>
      </c>
      <c r="Z16" s="7">
        <v>0.438475</v>
      </c>
      <c r="AA16" s="7">
        <v>0.48410199999999998</v>
      </c>
      <c r="AB16" s="7">
        <v>0.66972299999999996</v>
      </c>
    </row>
    <row r="17" spans="1:28" ht="16.350000000000001" customHeight="1">
      <c r="B17" s="8" t="s">
        <v>108</v>
      </c>
      <c r="C17" s="19" t="s">
        <v>29</v>
      </c>
      <c r="D17" s="19"/>
      <c r="E17" s="14">
        <v>85.087965999999994</v>
      </c>
      <c r="F17" s="14">
        <v>53.925823999999999</v>
      </c>
      <c r="G17" s="14">
        <v>41.140202000000002</v>
      </c>
      <c r="H17" s="14">
        <v>50.179223999999998</v>
      </c>
      <c r="I17" s="14">
        <v>70.930733000000004</v>
      </c>
      <c r="J17" s="14">
        <v>75.186447999999999</v>
      </c>
      <c r="K17" s="14">
        <v>85.295347000000007</v>
      </c>
      <c r="L17" s="14">
        <v>83.550387999999998</v>
      </c>
      <c r="M17" s="14">
        <v>66.663320999999996</v>
      </c>
      <c r="N17" s="14">
        <v>42.805298999999998</v>
      </c>
      <c r="O17" s="14">
        <v>46.766137000000001</v>
      </c>
      <c r="P17" s="14">
        <v>61.515631999999997</v>
      </c>
      <c r="Q17" s="7">
        <v>63.754106</v>
      </c>
      <c r="R17" s="7">
        <v>60.426785000000002</v>
      </c>
      <c r="S17" s="7">
        <v>43.205156000000002</v>
      </c>
      <c r="T17" s="7">
        <v>39.919631000000003</v>
      </c>
      <c r="U17" s="7">
        <v>63.841318000000001</v>
      </c>
      <c r="V17" s="7">
        <v>79.029194000000004</v>
      </c>
      <c r="W17" s="7">
        <v>93.950029000000001</v>
      </c>
      <c r="X17" s="7">
        <v>92.415919000000002</v>
      </c>
      <c r="Y17" s="7">
        <v>64.482618000000002</v>
      </c>
      <c r="Z17" s="7">
        <v>45.855488000000001</v>
      </c>
      <c r="AA17" s="7">
        <v>52.456204999999997</v>
      </c>
      <c r="AB17" s="7">
        <v>73.257052000000002</v>
      </c>
    </row>
    <row r="18" spans="1:28" ht="16.350000000000001" customHeight="1">
      <c r="B18" s="8" t="s">
        <v>108</v>
      </c>
      <c r="C18" s="19" t="s">
        <v>83</v>
      </c>
      <c r="D18" s="19"/>
      <c r="E18" s="44">
        <v>3.609</v>
      </c>
      <c r="F18" s="44">
        <v>3.3109999999999999</v>
      </c>
      <c r="G18" s="7">
        <v>2.9119999999999999</v>
      </c>
      <c r="H18" s="7">
        <v>3.61</v>
      </c>
      <c r="I18" s="7">
        <v>3.6709999999999998</v>
      </c>
      <c r="J18" s="7">
        <v>3.5310000000000001</v>
      </c>
      <c r="K18" s="7">
        <v>3.6890000000000001</v>
      </c>
      <c r="L18" s="7">
        <v>3.5550000000000002</v>
      </c>
      <c r="M18" s="7">
        <v>3.3889999999999998</v>
      </c>
      <c r="N18" s="7">
        <v>3.476</v>
      </c>
      <c r="O18" s="7">
        <v>3.1539999999999999</v>
      </c>
      <c r="P18" s="7">
        <v>3.121</v>
      </c>
      <c r="Q18" s="7">
        <v>3.2490000000000001</v>
      </c>
      <c r="R18" s="7">
        <v>3.2109999999999999</v>
      </c>
      <c r="S18" s="7">
        <v>2.9950000000000001</v>
      </c>
      <c r="T18" s="7">
        <v>3.0449999999999999</v>
      </c>
      <c r="U18" s="7">
        <v>3.72</v>
      </c>
      <c r="V18" s="7">
        <v>3.7069999999999999</v>
      </c>
      <c r="W18" s="7">
        <v>3.5630000000000002</v>
      </c>
      <c r="X18" s="7">
        <v>3.4089999999999998</v>
      </c>
      <c r="Y18" s="7">
        <v>3.3969999999999998</v>
      </c>
      <c r="Z18" s="7">
        <v>3.0880000000000001</v>
      </c>
      <c r="AA18" s="7">
        <v>2.9220000000000002</v>
      </c>
      <c r="AB18" s="7">
        <v>3.0779999999999998</v>
      </c>
    </row>
    <row r="19" spans="1:28" s="17" customFormat="1" ht="15.75" customHeight="1" thickBot="1">
      <c r="A19" s="3" t="s">
        <v>119</v>
      </c>
      <c r="B19" s="5"/>
      <c r="C19" s="16" t="s">
        <v>27</v>
      </c>
      <c r="D19" s="16" t="s">
        <v>28</v>
      </c>
      <c r="E19" s="1">
        <v>2023</v>
      </c>
      <c r="F19" s="2">
        <v>2024</v>
      </c>
    </row>
    <row r="20" spans="1:28" ht="16.350000000000001" customHeight="1">
      <c r="B20" s="18" t="s">
        <v>120</v>
      </c>
      <c r="C20" s="19" t="s">
        <v>30</v>
      </c>
      <c r="D20" s="19"/>
      <c r="E20" s="14"/>
      <c r="F20" s="14"/>
    </row>
    <row r="21" spans="1:28" ht="16.350000000000001" customHeight="1">
      <c r="B21" s="18" t="s">
        <v>121</v>
      </c>
      <c r="C21" s="19" t="s">
        <v>30</v>
      </c>
      <c r="D21" s="19"/>
      <c r="E21" s="14"/>
      <c r="F21" s="14"/>
    </row>
    <row r="22" spans="1:28" ht="16.350000000000001" customHeight="1">
      <c r="B22" s="8" t="s">
        <v>122</v>
      </c>
      <c r="C22" s="19" t="s">
        <v>30</v>
      </c>
      <c r="D22" s="19"/>
      <c r="E22" s="14"/>
      <c r="F22" s="14"/>
    </row>
    <row r="23" spans="1:28" ht="16.350000000000001" customHeight="1">
      <c r="B23" s="8" t="s">
        <v>123</v>
      </c>
      <c r="C23" s="19" t="s">
        <v>30</v>
      </c>
      <c r="D23" s="19"/>
      <c r="E23" s="14"/>
      <c r="F23" s="14"/>
    </row>
    <row r="24" spans="1:28" ht="16.350000000000001" customHeight="1">
      <c r="B24" s="15"/>
      <c r="C24" s="21"/>
      <c r="D24" s="21"/>
    </row>
    <row r="25" spans="1:28" s="17" customFormat="1" ht="15.75" customHeight="1" thickBot="1">
      <c r="A25" s="3" t="s">
        <v>124</v>
      </c>
      <c r="B25" s="5"/>
      <c r="C25" s="16" t="s">
        <v>27</v>
      </c>
      <c r="D25" s="16" t="s">
        <v>28</v>
      </c>
      <c r="E25" s="1">
        <v>2023</v>
      </c>
      <c r="F25" s="2">
        <v>2024</v>
      </c>
    </row>
    <row r="26" spans="1:28" ht="16.350000000000001" customHeight="1">
      <c r="B26" s="18" t="s">
        <v>125</v>
      </c>
      <c r="C26" s="19" t="s">
        <v>30</v>
      </c>
      <c r="D26" s="19"/>
      <c r="E26" s="14"/>
      <c r="F26" s="14"/>
    </row>
    <row r="27" spans="1:28" ht="16.350000000000001" customHeight="1">
      <c r="B27" s="8" t="s">
        <v>126</v>
      </c>
      <c r="C27" s="19" t="s">
        <v>30</v>
      </c>
      <c r="D27" s="19"/>
      <c r="E27" s="14"/>
      <c r="F27" s="14"/>
    </row>
    <row r="28" spans="1:28" ht="16.350000000000001" customHeight="1">
      <c r="B28" s="8" t="s">
        <v>127</v>
      </c>
      <c r="C28" s="19" t="s">
        <v>30</v>
      </c>
      <c r="D28" s="19"/>
      <c r="E28" s="14"/>
      <c r="F28" s="14"/>
    </row>
    <row r="29" spans="1:28" ht="16.350000000000001" customHeight="1">
      <c r="B29" s="8" t="s">
        <v>128</v>
      </c>
      <c r="C29" s="19" t="s">
        <v>30</v>
      </c>
      <c r="D29" s="19"/>
      <c r="E29" s="14"/>
      <c r="F29" s="14"/>
    </row>
    <row r="30" spans="1:28" ht="16.350000000000001" customHeight="1">
      <c r="B30" s="8" t="s">
        <v>129</v>
      </c>
      <c r="C30" s="19" t="s">
        <v>30</v>
      </c>
      <c r="D30" s="19"/>
      <c r="E30" s="14"/>
      <c r="F30" s="14"/>
    </row>
    <row r="31" spans="1:28" ht="16.350000000000001" customHeight="1">
      <c r="B31" s="8" t="s">
        <v>130</v>
      </c>
      <c r="C31" s="19" t="s">
        <v>30</v>
      </c>
      <c r="D31" s="19"/>
      <c r="E31" s="14"/>
      <c r="F31" s="14"/>
    </row>
    <row r="32" spans="1:28" ht="16.350000000000001" customHeight="1">
      <c r="B32" s="8" t="s">
        <v>131</v>
      </c>
      <c r="C32" s="19" t="s">
        <v>30</v>
      </c>
      <c r="D32" s="19"/>
      <c r="E32" s="14"/>
      <c r="F32" s="14"/>
    </row>
    <row r="33" spans="1:6" ht="16.350000000000001" customHeight="1">
      <c r="B33" s="8" t="s">
        <v>132</v>
      </c>
      <c r="C33" s="19" t="s">
        <v>30</v>
      </c>
      <c r="D33" s="19"/>
      <c r="E33" s="14"/>
      <c r="F33" s="14"/>
    </row>
    <row r="34" spans="1:6" ht="16.350000000000001" customHeight="1">
      <c r="B34" s="8" t="s">
        <v>133</v>
      </c>
      <c r="C34" s="19" t="s">
        <v>30</v>
      </c>
      <c r="D34" s="24"/>
      <c r="E34" s="14"/>
      <c r="F34" s="14"/>
    </row>
    <row r="35" spans="1:6" ht="16.350000000000001" customHeight="1">
      <c r="B35" s="8" t="s">
        <v>134</v>
      </c>
      <c r="C35" s="19" t="s">
        <v>30</v>
      </c>
      <c r="D35" s="24"/>
      <c r="E35" s="14"/>
      <c r="F35" s="14"/>
    </row>
    <row r="36" spans="1:6" ht="16.350000000000001" customHeight="1">
      <c r="B36" s="8" t="s">
        <v>135</v>
      </c>
      <c r="C36" s="19" t="s">
        <v>30</v>
      </c>
      <c r="D36" s="24"/>
      <c r="E36" s="14"/>
      <c r="F36" s="14"/>
    </row>
    <row r="37" spans="1:6" ht="16.350000000000001" customHeight="1">
      <c r="B37" s="8" t="s">
        <v>136</v>
      </c>
      <c r="C37" s="19" t="s">
        <v>30</v>
      </c>
      <c r="D37" s="19"/>
      <c r="E37" s="14"/>
      <c r="F37" s="14"/>
    </row>
    <row r="38" spans="1:6" ht="16.350000000000001" customHeight="1">
      <c r="B38" s="8" t="s">
        <v>1</v>
      </c>
      <c r="C38" s="19" t="s">
        <v>30</v>
      </c>
      <c r="D38" s="19"/>
      <c r="E38" s="14"/>
      <c r="F38" s="14"/>
    </row>
    <row r="39" spans="1:6" ht="16.350000000000001" customHeight="1">
      <c r="B39" s="8" t="s">
        <v>0</v>
      </c>
      <c r="C39" s="19" t="s">
        <v>30</v>
      </c>
      <c r="D39" s="19"/>
      <c r="E39" s="20"/>
      <c r="F39" s="20"/>
    </row>
    <row r="40" spans="1:6" ht="16.350000000000001" customHeight="1">
      <c r="B40" s="15"/>
      <c r="C40" s="21"/>
      <c r="D40" s="21"/>
    </row>
    <row r="41" spans="1:6" s="17" customFormat="1" ht="15.75" customHeight="1" thickBot="1">
      <c r="A41" s="3" t="s">
        <v>137</v>
      </c>
      <c r="B41" s="5"/>
      <c r="C41" s="16" t="s">
        <v>27</v>
      </c>
      <c r="D41" s="16" t="s">
        <v>28</v>
      </c>
      <c r="E41" s="1">
        <v>2023</v>
      </c>
      <c r="F41" s="2">
        <v>2024</v>
      </c>
    </row>
    <row r="42" spans="1:6" ht="16.350000000000001" customHeight="1">
      <c r="B42" s="18" t="s">
        <v>125</v>
      </c>
      <c r="C42" s="19" t="s">
        <v>30</v>
      </c>
      <c r="D42" s="19"/>
      <c r="E42" s="14"/>
      <c r="F42" s="14"/>
    </row>
    <row r="43" spans="1:6" ht="16.350000000000001" customHeight="1">
      <c r="B43" s="8" t="s">
        <v>126</v>
      </c>
      <c r="C43" s="19" t="s">
        <v>30</v>
      </c>
      <c r="D43" s="19"/>
      <c r="E43" s="14"/>
      <c r="F43" s="14"/>
    </row>
    <row r="44" spans="1:6" ht="16.350000000000001" customHeight="1">
      <c r="B44" s="8" t="s">
        <v>127</v>
      </c>
      <c r="C44" s="19" t="s">
        <v>30</v>
      </c>
      <c r="D44" s="19"/>
      <c r="E44" s="14"/>
      <c r="F44" s="14"/>
    </row>
    <row r="45" spans="1:6" ht="16.350000000000001" customHeight="1">
      <c r="B45" s="8" t="s">
        <v>128</v>
      </c>
      <c r="C45" s="19" t="s">
        <v>30</v>
      </c>
      <c r="D45" s="19"/>
      <c r="E45" s="14"/>
      <c r="F45" s="14"/>
    </row>
    <row r="46" spans="1:6" ht="16.350000000000001" customHeight="1">
      <c r="B46" s="8" t="s">
        <v>129</v>
      </c>
      <c r="C46" s="19" t="s">
        <v>30</v>
      </c>
      <c r="D46" s="19"/>
      <c r="E46" s="14"/>
      <c r="F46" s="14"/>
    </row>
    <row r="47" spans="1:6" ht="16.350000000000001" customHeight="1">
      <c r="B47" s="8" t="s">
        <v>130</v>
      </c>
      <c r="C47" s="19" t="s">
        <v>30</v>
      </c>
      <c r="D47" s="19"/>
      <c r="E47" s="14"/>
      <c r="F47" s="14"/>
    </row>
    <row r="48" spans="1:6" ht="16.350000000000001" customHeight="1">
      <c r="B48" s="8" t="s">
        <v>131</v>
      </c>
      <c r="C48" s="19" t="s">
        <v>30</v>
      </c>
      <c r="D48" s="19"/>
      <c r="E48" s="14"/>
      <c r="F48" s="14"/>
    </row>
    <row r="49" spans="1:6" ht="16.350000000000001" customHeight="1">
      <c r="B49" s="8" t="s">
        <v>132</v>
      </c>
      <c r="C49" s="19" t="s">
        <v>30</v>
      </c>
      <c r="D49" s="19"/>
      <c r="E49" s="14"/>
      <c r="F49" s="14"/>
    </row>
    <row r="50" spans="1:6" ht="16.350000000000001" customHeight="1">
      <c r="B50" s="8" t="s">
        <v>133</v>
      </c>
      <c r="C50" s="19" t="s">
        <v>30</v>
      </c>
      <c r="D50" s="24"/>
      <c r="E50" s="14"/>
      <c r="F50" s="14"/>
    </row>
    <row r="51" spans="1:6" ht="16.350000000000001" customHeight="1">
      <c r="B51" s="8" t="s">
        <v>134</v>
      </c>
      <c r="C51" s="19" t="s">
        <v>30</v>
      </c>
      <c r="D51" s="24"/>
      <c r="E51" s="14"/>
      <c r="F51" s="14"/>
    </row>
    <row r="52" spans="1:6" ht="16.350000000000001" customHeight="1">
      <c r="B52" s="8" t="s">
        <v>135</v>
      </c>
      <c r="C52" s="19" t="s">
        <v>30</v>
      </c>
      <c r="D52" s="24"/>
      <c r="E52" s="14"/>
      <c r="F52" s="14"/>
    </row>
    <row r="53" spans="1:6" ht="16.350000000000001" customHeight="1">
      <c r="B53" s="8" t="s">
        <v>136</v>
      </c>
      <c r="C53" s="19" t="s">
        <v>30</v>
      </c>
      <c r="D53" s="19"/>
      <c r="E53" s="14"/>
      <c r="F53" s="14"/>
    </row>
    <row r="54" spans="1:6" ht="16.350000000000001" customHeight="1">
      <c r="B54" s="8" t="s">
        <v>1</v>
      </c>
      <c r="C54" s="19" t="s">
        <v>30</v>
      </c>
      <c r="D54" s="19"/>
      <c r="E54" s="14"/>
      <c r="F54" s="14"/>
    </row>
    <row r="55" spans="1:6" ht="16.350000000000001" customHeight="1">
      <c r="B55" s="8" t="s">
        <v>0</v>
      </c>
      <c r="C55" s="19" t="s">
        <v>30</v>
      </c>
      <c r="D55" s="19"/>
      <c r="E55" s="20"/>
      <c r="F55" s="20"/>
    </row>
    <row r="56" spans="1:6" ht="16.149999999999999" customHeight="1">
      <c r="B56" s="15"/>
      <c r="C56" s="21"/>
      <c r="D56" s="21"/>
    </row>
    <row r="57" spans="1:6" s="17" customFormat="1" ht="15.75" customHeight="1" thickBot="1">
      <c r="A57" s="3" t="s">
        <v>138</v>
      </c>
      <c r="B57" s="5"/>
      <c r="C57" s="16" t="s">
        <v>27</v>
      </c>
      <c r="D57" s="16" t="s">
        <v>28</v>
      </c>
      <c r="E57" s="1">
        <v>2023</v>
      </c>
      <c r="F57" s="2">
        <v>2024</v>
      </c>
    </row>
    <row r="58" spans="1:6" ht="16.350000000000001" customHeight="1">
      <c r="B58" s="18" t="s">
        <v>139</v>
      </c>
      <c r="C58" s="19" t="s">
        <v>30</v>
      </c>
      <c r="D58" s="19"/>
      <c r="E58" s="14"/>
      <c r="F58" s="14"/>
    </row>
    <row r="59" spans="1:6" ht="16.350000000000001" customHeight="1">
      <c r="B59" s="8" t="s">
        <v>140</v>
      </c>
      <c r="C59" s="19" t="s">
        <v>30</v>
      </c>
      <c r="D59" s="19"/>
      <c r="E59" s="14"/>
      <c r="F59" s="14"/>
    </row>
    <row r="60" spans="1:6" ht="16.350000000000001" customHeight="1">
      <c r="B60" s="8" t="s">
        <v>141</v>
      </c>
      <c r="C60" s="19" t="s">
        <v>30</v>
      </c>
      <c r="D60" s="19"/>
      <c r="E60" s="14"/>
      <c r="F60" s="14"/>
    </row>
    <row r="61" spans="1:6" ht="16.350000000000001" customHeight="1">
      <c r="B61" s="8" t="s">
        <v>142</v>
      </c>
      <c r="C61" s="19" t="s">
        <v>30</v>
      </c>
      <c r="D61" s="19"/>
      <c r="E61" s="14"/>
      <c r="F61" s="14"/>
    </row>
    <row r="62" spans="1:6" ht="16.350000000000001" customHeight="1">
      <c r="B62" s="8" t="s">
        <v>143</v>
      </c>
      <c r="C62" s="19" t="s">
        <v>30</v>
      </c>
      <c r="D62" s="19"/>
      <c r="E62" s="14"/>
      <c r="F62" s="14"/>
    </row>
    <row r="63" spans="1:6" ht="16.350000000000001" customHeight="1">
      <c r="B63" s="8" t="s">
        <v>144</v>
      </c>
      <c r="C63" s="19" t="s">
        <v>30</v>
      </c>
      <c r="D63" s="19"/>
      <c r="E63" s="14"/>
      <c r="F63" s="14"/>
    </row>
    <row r="64" spans="1:6" ht="16.350000000000001" customHeight="1">
      <c r="B64" s="8" t="s">
        <v>145</v>
      </c>
      <c r="C64" s="19" t="s">
        <v>30</v>
      </c>
      <c r="D64" s="19"/>
      <c r="E64" s="14"/>
      <c r="F64" s="14"/>
    </row>
    <row r="65" spans="2:6" ht="16.350000000000001" customHeight="1">
      <c r="B65" s="8" t="s">
        <v>136</v>
      </c>
      <c r="C65" s="19" t="s">
        <v>30</v>
      </c>
      <c r="D65" s="19"/>
      <c r="E65" s="14"/>
      <c r="F65" s="14"/>
    </row>
    <row r="66" spans="2:6" ht="16.350000000000001" customHeight="1">
      <c r="B66" s="8" t="s">
        <v>1</v>
      </c>
      <c r="C66" s="19" t="s">
        <v>30</v>
      </c>
      <c r="D66" s="19"/>
      <c r="E66" s="14"/>
      <c r="F66" s="14"/>
    </row>
    <row r="67" spans="2:6" ht="16.350000000000001" customHeight="1">
      <c r="B67" s="8" t="s">
        <v>0</v>
      </c>
      <c r="C67" s="19" t="s">
        <v>30</v>
      </c>
      <c r="D67" s="19"/>
      <c r="E67" s="20"/>
      <c r="F67" s="20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79998168889431442"/>
  </sheetPr>
  <dimension ref="A1:Y89"/>
  <sheetViews>
    <sheetView zoomScale="130" zoomScaleNormal="130" workbookViewId="0">
      <selection activeCell="F27" sqref="E27:F27"/>
    </sheetView>
  </sheetViews>
  <sheetFormatPr defaultColWidth="8" defaultRowHeight="12.75"/>
  <cols>
    <col min="1" max="1" width="8" style="7"/>
    <col min="2" max="2" width="39.7109375" style="26" customWidth="1"/>
    <col min="3" max="3" width="7.7109375" style="22" customWidth="1"/>
    <col min="4" max="4" width="13.42578125" style="54" customWidth="1"/>
    <col min="5" max="6" width="9.85546875" style="7" bestFit="1" customWidth="1"/>
    <col min="7" max="16384" width="8" style="7"/>
  </cols>
  <sheetData>
    <row r="1" spans="1:25" s="17" customFormat="1" ht="15.75" customHeight="1" thickBot="1">
      <c r="A1" s="3" t="s">
        <v>90</v>
      </c>
      <c r="B1" s="4"/>
      <c r="C1" s="5" t="s">
        <v>27</v>
      </c>
      <c r="D1" s="49" t="s">
        <v>28</v>
      </c>
      <c r="E1" s="1">
        <v>2023</v>
      </c>
      <c r="F1" s="2">
        <v>2024</v>
      </c>
    </row>
    <row r="2" spans="1:25" ht="16.350000000000001" customHeight="1">
      <c r="B2" s="29" t="s">
        <v>82</v>
      </c>
      <c r="C2" s="28" t="s">
        <v>81</v>
      </c>
      <c r="D2" s="50" t="s">
        <v>147</v>
      </c>
      <c r="E2" s="9">
        <f>Commercial_quarterly!E2+Commercial_quarterly!F2+Commercial_quarterly!G2+Commercial_quarterly!H2</f>
        <v>117.10709567834002</v>
      </c>
      <c r="F2" s="9">
        <f>Commercial_quarterly!I2+Commercial_quarterly!J2+Commercial_quarterly!K2+Commercial_quarterly!L2</f>
        <v>121.886218087872</v>
      </c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ht="16.350000000000001" customHeight="1">
      <c r="B3" s="29" t="s">
        <v>1</v>
      </c>
      <c r="C3" s="28" t="s">
        <v>81</v>
      </c>
      <c r="D3" s="50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6.350000000000001" customHeight="1">
      <c r="B4" s="30" t="s">
        <v>0</v>
      </c>
      <c r="C4" s="28" t="s">
        <v>81</v>
      </c>
      <c r="D4" s="50" t="s">
        <v>147</v>
      </c>
      <c r="E4" s="11">
        <f>E2+E3</f>
        <v>117.10709567834002</v>
      </c>
      <c r="F4" s="11">
        <f>F2+F3</f>
        <v>121.886218087872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16.350000000000001" customHeight="1">
      <c r="B5" s="31"/>
      <c r="C5" s="28"/>
      <c r="D5" s="50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</row>
    <row r="6" spans="1:25" s="17" customFormat="1" ht="15.75" customHeight="1" thickBot="1">
      <c r="A6" s="3" t="s">
        <v>109</v>
      </c>
      <c r="B6" s="4"/>
      <c r="C6" s="5" t="s">
        <v>27</v>
      </c>
      <c r="D6" s="49" t="s">
        <v>28</v>
      </c>
      <c r="E6" s="1">
        <v>2023</v>
      </c>
      <c r="F6" s="2">
        <v>2024</v>
      </c>
    </row>
    <row r="7" spans="1:25" ht="16.350000000000001" customHeight="1">
      <c r="B7" s="29" t="s">
        <v>71</v>
      </c>
      <c r="C7" s="28" t="s">
        <v>81</v>
      </c>
      <c r="D7" s="50" t="s">
        <v>147</v>
      </c>
      <c r="E7" s="9">
        <f>Commercial_quarterly!E7+Commercial_quarterly!F7+Commercial_quarterly!G7+Commercial_quarterly!H7</f>
        <v>593.96967662010002</v>
      </c>
      <c r="F7" s="9">
        <f>Commercial_quarterly!I7+Commercial_quarterly!J7+Commercial_quarterly!K7+Commercial_quarterly!L7</f>
        <v>701.47680010808392</v>
      </c>
    </row>
    <row r="8" spans="1:25" ht="16.350000000000001" customHeight="1">
      <c r="B8" s="29" t="s">
        <v>116</v>
      </c>
      <c r="C8" s="28" t="s">
        <v>81</v>
      </c>
      <c r="D8" s="50" t="s">
        <v>147</v>
      </c>
      <c r="E8" s="9">
        <f>Commercial_quarterly!E8+Commercial_quarterly!F8+Commercial_quarterly!G8+Commercial_quarterly!H8</f>
        <v>119.58571844440002</v>
      </c>
      <c r="F8" s="9">
        <f>Commercial_quarterly!I8+Commercial_quarterly!J8+Commercial_quarterly!K8+Commercial_quarterly!L8</f>
        <v>145.115974329018</v>
      </c>
    </row>
    <row r="9" spans="1:25" ht="16.350000000000001" customHeight="1">
      <c r="B9" s="29" t="s">
        <v>1</v>
      </c>
      <c r="C9" s="28" t="s">
        <v>81</v>
      </c>
      <c r="D9" s="50"/>
      <c r="E9" s="9"/>
      <c r="F9" s="9"/>
    </row>
    <row r="10" spans="1:25" ht="16.350000000000001" customHeight="1">
      <c r="B10" s="30" t="s">
        <v>0</v>
      </c>
      <c r="C10" s="28" t="s">
        <v>81</v>
      </c>
      <c r="D10" s="50" t="s">
        <v>147</v>
      </c>
      <c r="E10" s="59">
        <f>E7+E8+E9</f>
        <v>713.55539506450009</v>
      </c>
      <c r="F10" s="59">
        <f>F7+F8+F9</f>
        <v>846.59277443710198</v>
      </c>
    </row>
    <row r="11" spans="1:25" ht="16.350000000000001" customHeight="1">
      <c r="B11" s="31"/>
      <c r="C11" s="28"/>
      <c r="D11" s="50"/>
      <c r="E11" s="31"/>
      <c r="F11" s="31"/>
    </row>
    <row r="12" spans="1:25" s="17" customFormat="1" ht="16.149999999999999" customHeight="1" thickBot="1">
      <c r="A12" s="3" t="s">
        <v>114</v>
      </c>
      <c r="B12" s="25"/>
      <c r="C12" s="5" t="s">
        <v>27</v>
      </c>
      <c r="D12" s="49" t="s">
        <v>28</v>
      </c>
      <c r="E12" s="1">
        <v>2023</v>
      </c>
      <c r="F12" s="2">
        <v>2024</v>
      </c>
    </row>
    <row r="13" spans="1:25" ht="16.350000000000001" customHeight="1">
      <c r="B13" s="29" t="s">
        <v>82</v>
      </c>
      <c r="C13" s="28" t="s">
        <v>72</v>
      </c>
      <c r="D13" s="50" t="s">
        <v>148</v>
      </c>
      <c r="E13" s="9">
        <v>13.24</v>
      </c>
      <c r="F13" s="9">
        <v>13.72</v>
      </c>
    </row>
    <row r="14" spans="1:25" ht="16.350000000000001" customHeight="1">
      <c r="B14" s="29" t="s">
        <v>1</v>
      </c>
      <c r="C14" s="28" t="s">
        <v>72</v>
      </c>
      <c r="D14" s="50"/>
      <c r="E14" s="9"/>
      <c r="F14" s="9"/>
    </row>
    <row r="15" spans="1:25" ht="16.350000000000001" customHeight="1">
      <c r="B15" s="30" t="s">
        <v>0</v>
      </c>
      <c r="C15" s="28" t="s">
        <v>72</v>
      </c>
      <c r="D15" s="50" t="s">
        <v>148</v>
      </c>
      <c r="E15" s="59">
        <v>13.24</v>
      </c>
      <c r="F15" s="59">
        <v>13.72</v>
      </c>
    </row>
    <row r="16" spans="1:25" ht="16.350000000000001" customHeight="1">
      <c r="B16" s="31"/>
      <c r="C16" s="28"/>
      <c r="D16" s="50"/>
      <c r="E16" s="31"/>
      <c r="F16" s="31"/>
    </row>
    <row r="17" spans="1:6" s="17" customFormat="1" ht="16.149999999999999" customHeight="1" thickBot="1">
      <c r="A17" s="3" t="s">
        <v>115</v>
      </c>
      <c r="B17" s="25"/>
      <c r="C17" s="5" t="s">
        <v>27</v>
      </c>
      <c r="D17" s="49" t="s">
        <v>28</v>
      </c>
      <c r="E17" s="1">
        <v>2023</v>
      </c>
      <c r="F17" s="2">
        <v>2024</v>
      </c>
    </row>
    <row r="18" spans="1:6" ht="16.350000000000001" customHeight="1">
      <c r="B18" s="29" t="s">
        <v>71</v>
      </c>
      <c r="C18" s="28" t="s">
        <v>72</v>
      </c>
      <c r="D18" s="50" t="s">
        <v>149</v>
      </c>
      <c r="E18" s="9">
        <v>2.9</v>
      </c>
      <c r="F18" s="9">
        <v>3.29</v>
      </c>
    </row>
    <row r="19" spans="1:6" ht="16.350000000000001" customHeight="1">
      <c r="B19" s="29" t="s">
        <v>116</v>
      </c>
      <c r="C19" s="28" t="s">
        <v>72</v>
      </c>
      <c r="D19" s="50" t="s">
        <v>149</v>
      </c>
      <c r="E19" s="9">
        <v>2.9</v>
      </c>
      <c r="F19" s="9">
        <v>3.29</v>
      </c>
    </row>
    <row r="20" spans="1:6" ht="16.350000000000001" customHeight="1">
      <c r="B20" s="29" t="s">
        <v>1</v>
      </c>
      <c r="C20" s="28" t="s">
        <v>72</v>
      </c>
      <c r="D20" s="50"/>
      <c r="E20" s="9"/>
      <c r="F20" s="9"/>
    </row>
    <row r="21" spans="1:6" ht="16.350000000000001" customHeight="1">
      <c r="B21" s="30" t="s">
        <v>0</v>
      </c>
      <c r="C21" s="28" t="s">
        <v>72</v>
      </c>
      <c r="D21" s="50" t="s">
        <v>149</v>
      </c>
      <c r="E21" s="59">
        <v>2.9</v>
      </c>
      <c r="F21" s="59">
        <v>3.29</v>
      </c>
    </row>
    <row r="22" spans="1:6" ht="16.350000000000001" customHeight="1">
      <c r="B22" s="31"/>
      <c r="C22" s="28"/>
      <c r="D22" s="50"/>
      <c r="E22" s="31"/>
      <c r="F22" s="31"/>
    </row>
    <row r="23" spans="1:6" s="17" customFormat="1" ht="15.75" customHeight="1" thickBot="1">
      <c r="A23" s="3" t="s">
        <v>112</v>
      </c>
      <c r="B23" s="4"/>
      <c r="C23" s="5" t="s">
        <v>27</v>
      </c>
      <c r="D23" s="49" t="s">
        <v>28</v>
      </c>
      <c r="E23" s="1">
        <v>2023</v>
      </c>
      <c r="F23" s="2">
        <v>2024</v>
      </c>
    </row>
    <row r="24" spans="1:6" ht="16.350000000000001" customHeight="1">
      <c r="B24" s="29" t="s">
        <v>71</v>
      </c>
      <c r="C24" s="28" t="s">
        <v>81</v>
      </c>
      <c r="D24" s="50"/>
      <c r="E24" s="9">
        <f>Commercial_quarterly!E24+Commercial_quarterly!F24+Commercial_quarterly!G24+Commercial_quarterly!H24</f>
        <v>305.38405062999999</v>
      </c>
      <c r="F24" s="9">
        <f>Commercial_quarterly!I24+Commercial_quarterly!J24+Commercial_quarterly!K24+Commercial_quarterly!L24</f>
        <v>386.67137307000002</v>
      </c>
    </row>
    <row r="25" spans="1:6" ht="16.350000000000001" customHeight="1">
      <c r="B25" s="29" t="s">
        <v>116</v>
      </c>
      <c r="C25" s="28" t="s">
        <v>81</v>
      </c>
      <c r="D25" s="50"/>
      <c r="E25" s="9">
        <f>Commercial_quarterly!E25+Commercial_quarterly!F25+Commercial_quarterly!G25+Commercial_quarterly!H25</f>
        <v>4.7320000000000001E-2</v>
      </c>
      <c r="F25" s="9">
        <f>Commercial_quarterly!I25+Commercial_quarterly!J25+Commercial_quarterly!K25+Commercial_quarterly!L25</f>
        <v>0</v>
      </c>
    </row>
    <row r="26" spans="1:6" ht="16.350000000000001" customHeight="1">
      <c r="B26" s="29" t="s">
        <v>1</v>
      </c>
      <c r="C26" s="28" t="s">
        <v>81</v>
      </c>
      <c r="D26" s="50"/>
      <c r="E26" s="9">
        <f>Commercial_quarterly!E26+Commercial_quarterly!F26+Commercial_quarterly!G26+Commercial_quarterly!H26</f>
        <v>0</v>
      </c>
      <c r="F26" s="9">
        <f>Commercial_quarterly!I26+Commercial_quarterly!J26+Commercial_quarterly!K26+Commercial_quarterly!L26</f>
        <v>0</v>
      </c>
    </row>
    <row r="27" spans="1:6" ht="16.350000000000001" customHeight="1">
      <c r="B27" s="30" t="s">
        <v>0</v>
      </c>
      <c r="C27" s="28" t="s">
        <v>81</v>
      </c>
      <c r="D27" s="50"/>
      <c r="E27" s="59">
        <f>E24+E25+E26</f>
        <v>305.43137063</v>
      </c>
      <c r="F27" s="59">
        <f>F24+F25+F26</f>
        <v>386.67137307000002</v>
      </c>
    </row>
    <row r="28" spans="1:6" ht="16.350000000000001" customHeight="1">
      <c r="B28" s="14"/>
      <c r="C28" s="28"/>
      <c r="D28" s="50"/>
    </row>
    <row r="29" spans="1:6" s="17" customFormat="1" ht="15.75" customHeight="1" thickBot="1">
      <c r="A29" s="3" t="s">
        <v>113</v>
      </c>
      <c r="B29" s="4"/>
      <c r="C29" s="5" t="s">
        <v>27</v>
      </c>
      <c r="D29" s="49" t="s">
        <v>28</v>
      </c>
      <c r="E29" s="1">
        <v>2023</v>
      </c>
      <c r="F29" s="2">
        <v>2024</v>
      </c>
    </row>
    <row r="30" spans="1:6" ht="16.350000000000001" customHeight="1">
      <c r="B30" s="29" t="s">
        <v>71</v>
      </c>
      <c r="C30" s="15" t="s">
        <v>83</v>
      </c>
      <c r="D30" s="51"/>
      <c r="E30" s="32">
        <f>E24/E7</f>
        <v>0.51414080996145206</v>
      </c>
      <c r="F30" s="32">
        <f>F24/F7</f>
        <v>0.55122474900156571</v>
      </c>
    </row>
    <row r="31" spans="1:6" ht="16.350000000000001" customHeight="1">
      <c r="B31" s="29" t="s">
        <v>116</v>
      </c>
      <c r="C31" s="15" t="s">
        <v>83</v>
      </c>
      <c r="D31" s="51"/>
      <c r="E31" s="32">
        <f t="shared" ref="E31:F31" si="0">E25/E8</f>
        <v>3.956994247770555E-4</v>
      </c>
      <c r="F31" s="32">
        <f t="shared" si="0"/>
        <v>0</v>
      </c>
    </row>
    <row r="32" spans="1:6" ht="16.350000000000001" customHeight="1">
      <c r="B32" s="29" t="s">
        <v>1</v>
      </c>
      <c r="C32" s="15" t="s">
        <v>83</v>
      </c>
      <c r="D32" s="52"/>
      <c r="E32" s="32">
        <v>0</v>
      </c>
      <c r="F32" s="32">
        <v>0</v>
      </c>
    </row>
    <row r="33" spans="2:6" ht="16.350000000000001" customHeight="1">
      <c r="B33" s="30" t="s">
        <v>0</v>
      </c>
      <c r="C33" s="15" t="s">
        <v>83</v>
      </c>
      <c r="D33" s="50"/>
      <c r="E33" s="60">
        <f>E27/E10</f>
        <v>0.42804156866110066</v>
      </c>
      <c r="F33" s="60">
        <f t="shared" ref="F33" si="1">F27/F10</f>
        <v>0.45673833364228406</v>
      </c>
    </row>
    <row r="34" spans="2:6" ht="16.350000000000001" customHeight="1">
      <c r="B34" s="14"/>
      <c r="C34" s="28"/>
      <c r="D34" s="50"/>
    </row>
    <row r="35" spans="2:6" ht="16.350000000000001" customHeight="1">
      <c r="B35" s="7"/>
      <c r="C35" s="28"/>
      <c r="D35" s="50"/>
    </row>
    <row r="36" spans="2:6" ht="16.350000000000001" customHeight="1">
      <c r="B36" s="7"/>
      <c r="C36" s="28"/>
      <c r="D36" s="50"/>
    </row>
    <row r="37" spans="2:6" ht="16.350000000000001" customHeight="1">
      <c r="B37" s="7"/>
      <c r="C37" s="28"/>
      <c r="D37" s="50"/>
    </row>
    <row r="38" spans="2:6" ht="16.350000000000001" customHeight="1">
      <c r="B38" s="7"/>
      <c r="C38" s="28"/>
      <c r="D38" s="50"/>
    </row>
    <row r="39" spans="2:6" ht="16.350000000000001" customHeight="1">
      <c r="B39" s="7"/>
      <c r="C39" s="28"/>
      <c r="D39" s="50"/>
    </row>
    <row r="40" spans="2:6">
      <c r="B40" s="7"/>
      <c r="C40" s="28"/>
      <c r="D40" s="50"/>
    </row>
    <row r="41" spans="2:6">
      <c r="B41" s="7"/>
      <c r="C41" s="28"/>
      <c r="D41" s="50"/>
    </row>
    <row r="42" spans="2:6">
      <c r="B42" s="7"/>
      <c r="C42" s="28"/>
      <c r="D42" s="50"/>
    </row>
    <row r="43" spans="2:6">
      <c r="B43" s="7"/>
      <c r="C43" s="28"/>
      <c r="D43" s="50"/>
    </row>
    <row r="44" spans="2:6">
      <c r="B44" s="14"/>
      <c r="C44" s="28"/>
      <c r="D44" s="50"/>
    </row>
    <row r="45" spans="2:6">
      <c r="B45" s="14"/>
      <c r="C45" s="28"/>
      <c r="D45" s="50"/>
    </row>
    <row r="46" spans="2:6">
      <c r="B46" s="14"/>
      <c r="C46" s="15"/>
      <c r="D46" s="51"/>
    </row>
    <row r="47" spans="2:6">
      <c r="B47" s="14"/>
      <c r="C47" s="13"/>
      <c r="D47" s="52"/>
    </row>
    <row r="48" spans="2:6">
      <c r="B48" s="14"/>
      <c r="C48" s="28"/>
      <c r="D48" s="50"/>
    </row>
    <row r="49" spans="2:4">
      <c r="B49" s="14"/>
      <c r="C49" s="28"/>
      <c r="D49" s="50"/>
    </row>
    <row r="50" spans="2:4">
      <c r="B50" s="14"/>
      <c r="C50" s="28"/>
      <c r="D50" s="50"/>
    </row>
    <row r="51" spans="2:4">
      <c r="B51" s="14"/>
      <c r="C51" s="28"/>
      <c r="D51" s="50"/>
    </row>
    <row r="52" spans="2:4">
      <c r="B52" s="14"/>
      <c r="C52" s="28"/>
      <c r="D52" s="50"/>
    </row>
    <row r="53" spans="2:4">
      <c r="B53" s="14"/>
      <c r="C53" s="28"/>
      <c r="D53" s="50"/>
    </row>
    <row r="54" spans="2:4">
      <c r="C54" s="28"/>
      <c r="D54" s="50"/>
    </row>
    <row r="55" spans="2:4">
      <c r="C55" s="28"/>
      <c r="D55" s="50"/>
    </row>
    <row r="56" spans="2:4">
      <c r="C56" s="28"/>
      <c r="D56" s="50"/>
    </row>
    <row r="57" spans="2:4">
      <c r="C57" s="28"/>
      <c r="D57" s="50"/>
    </row>
    <row r="58" spans="2:4">
      <c r="C58" s="28"/>
      <c r="D58" s="50"/>
    </row>
    <row r="59" spans="2:4">
      <c r="C59" s="13"/>
      <c r="D59" s="52"/>
    </row>
    <row r="60" spans="2:4">
      <c r="C60" s="28"/>
      <c r="D60" s="50"/>
    </row>
    <row r="61" spans="2:4">
      <c r="C61" s="28"/>
      <c r="D61" s="50"/>
    </row>
    <row r="62" spans="2:4">
      <c r="C62" s="28"/>
      <c r="D62" s="50"/>
    </row>
    <row r="63" spans="2:4">
      <c r="C63" s="28"/>
      <c r="D63" s="50"/>
    </row>
    <row r="64" spans="2:4">
      <c r="C64" s="28"/>
      <c r="D64" s="50"/>
    </row>
    <row r="65" spans="3:4">
      <c r="C65" s="28"/>
      <c r="D65" s="50"/>
    </row>
    <row r="66" spans="3:4">
      <c r="C66" s="15"/>
      <c r="D66" s="51"/>
    </row>
    <row r="67" spans="3:4">
      <c r="C67" s="13"/>
      <c r="D67" s="52"/>
    </row>
    <row r="68" spans="3:4">
      <c r="C68" s="28"/>
      <c r="D68" s="50"/>
    </row>
    <row r="69" spans="3:4">
      <c r="C69" s="28"/>
      <c r="D69" s="50"/>
    </row>
    <row r="70" spans="3:4">
      <c r="C70" s="28"/>
      <c r="D70" s="50"/>
    </row>
    <row r="71" spans="3:4">
      <c r="C71" s="28"/>
      <c r="D71" s="50"/>
    </row>
    <row r="72" spans="3:4">
      <c r="C72" s="28"/>
      <c r="D72" s="50"/>
    </row>
    <row r="73" spans="3:4">
      <c r="C73" s="28"/>
      <c r="D73" s="50"/>
    </row>
    <row r="74" spans="3:4">
      <c r="C74" s="28"/>
      <c r="D74" s="50"/>
    </row>
    <row r="75" spans="3:4">
      <c r="C75" s="28"/>
      <c r="D75" s="50"/>
    </row>
    <row r="76" spans="3:4">
      <c r="C76" s="28"/>
      <c r="D76" s="50"/>
    </row>
    <row r="77" spans="3:4">
      <c r="C77" s="33"/>
      <c r="D77" s="53"/>
    </row>
    <row r="78" spans="3:4">
      <c r="C78" s="15"/>
      <c r="D78" s="51"/>
    </row>
    <row r="79" spans="3:4">
      <c r="C79" s="13"/>
      <c r="D79" s="52"/>
    </row>
    <row r="80" spans="3:4">
      <c r="C80" s="28"/>
      <c r="D80" s="50"/>
    </row>
    <row r="81" spans="3:4">
      <c r="C81" s="28"/>
      <c r="D81" s="50"/>
    </row>
    <row r="82" spans="3:4">
      <c r="C82" s="28"/>
      <c r="D82" s="50"/>
    </row>
    <row r="83" spans="3:4">
      <c r="C83" s="28"/>
      <c r="D83" s="50"/>
    </row>
    <row r="84" spans="3:4">
      <c r="C84" s="28"/>
      <c r="D84" s="50"/>
    </row>
    <row r="85" spans="3:4">
      <c r="C85" s="28"/>
      <c r="D85" s="50"/>
    </row>
    <row r="86" spans="3:4">
      <c r="C86" s="28"/>
      <c r="D86" s="50"/>
    </row>
    <row r="87" spans="3:4">
      <c r="C87" s="28"/>
      <c r="D87" s="50"/>
    </row>
    <row r="88" spans="3:4">
      <c r="C88" s="28"/>
      <c r="D88" s="50"/>
    </row>
    <row r="89" spans="3:4">
      <c r="C89" s="33"/>
      <c r="D89" s="53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79998168889431442"/>
  </sheetPr>
  <dimension ref="A1:Y89"/>
  <sheetViews>
    <sheetView zoomScale="85" zoomScaleNormal="85" workbookViewId="0">
      <selection activeCell="L10" sqref="E10:L10"/>
    </sheetView>
  </sheetViews>
  <sheetFormatPr defaultColWidth="8" defaultRowHeight="12.75"/>
  <cols>
    <col min="1" max="1" width="8" style="7"/>
    <col min="2" max="2" width="39.7109375" style="26" customWidth="1"/>
    <col min="3" max="3" width="7.7109375" style="22" customWidth="1"/>
    <col min="4" max="4" width="11.5703125" style="22" customWidth="1"/>
    <col min="5" max="6" width="9.85546875" style="7" bestFit="1" customWidth="1"/>
    <col min="7" max="16384" width="8" style="7"/>
  </cols>
  <sheetData>
    <row r="1" spans="1:25" s="17" customFormat="1" ht="15.75" customHeight="1" thickBot="1">
      <c r="A1" s="3" t="s">
        <v>90</v>
      </c>
      <c r="B1" s="4"/>
      <c r="C1" s="5" t="s">
        <v>27</v>
      </c>
      <c r="D1" s="5" t="s">
        <v>28</v>
      </c>
      <c r="E1" s="1" t="s">
        <v>21</v>
      </c>
      <c r="F1" s="2" t="s">
        <v>22</v>
      </c>
      <c r="G1" s="1" t="s">
        <v>25</v>
      </c>
      <c r="H1" s="2" t="s">
        <v>26</v>
      </c>
      <c r="I1" s="1" t="s">
        <v>91</v>
      </c>
      <c r="J1" s="2" t="s">
        <v>92</v>
      </c>
      <c r="K1" s="1" t="s">
        <v>88</v>
      </c>
      <c r="L1" s="1" t="s">
        <v>91</v>
      </c>
    </row>
    <row r="2" spans="1:25" ht="16.350000000000001" customHeight="1">
      <c r="B2" s="29" t="s">
        <v>82</v>
      </c>
      <c r="C2" s="28" t="s">
        <v>81</v>
      </c>
      <c r="D2" s="50" t="s">
        <v>147</v>
      </c>
      <c r="E2" s="9">
        <f>SUM(Commercial_monthly!E2:G2)</f>
        <v>27.691331763980003</v>
      </c>
      <c r="F2" s="9">
        <f>SUM(Commercial_monthly!H2:J2)</f>
        <v>30.109573502660002</v>
      </c>
      <c r="G2" s="9">
        <f>SUM(Commercial_monthly!K2:M2)</f>
        <v>36.103188824620005</v>
      </c>
      <c r="H2" s="9">
        <f>SUM(Commercial_monthly!N2:P2)</f>
        <v>23.203001587080003</v>
      </c>
      <c r="I2" s="9">
        <f>Commercial_monthly!Q2+Commercial_monthly!R2+Commercial_monthly!S2</f>
        <v>26.448960045984002</v>
      </c>
      <c r="J2" s="9">
        <f>Commercial_monthly!T2+Commercial_monthly!U2+Commercial_monthly!V2</f>
        <v>28.821622170768002</v>
      </c>
      <c r="K2" s="9">
        <f>Commercial_monthly!W2+Commercial_monthly!X2+Commercial_monthly!Y2</f>
        <v>39.530424191159995</v>
      </c>
      <c r="L2" s="9">
        <f>Commercial_monthly!Z2+Commercial_monthly!AA2+Commercial_monthly!AB2</f>
        <v>27.08521167996</v>
      </c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ht="16.350000000000001" customHeight="1">
      <c r="B3" s="29" t="s">
        <v>1</v>
      </c>
      <c r="C3" s="28" t="s">
        <v>81</v>
      </c>
      <c r="D3" s="28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6.350000000000001" customHeight="1">
      <c r="B4" s="30" t="s">
        <v>0</v>
      </c>
      <c r="C4" s="28" t="s">
        <v>81</v>
      </c>
      <c r="D4" s="50" t="s">
        <v>147</v>
      </c>
      <c r="E4" s="11">
        <f>E2+E3</f>
        <v>27.691331763980003</v>
      </c>
      <c r="F4" s="11">
        <f t="shared" ref="F4:L4" si="0">F2+F3</f>
        <v>30.109573502660002</v>
      </c>
      <c r="G4" s="11">
        <f t="shared" si="0"/>
        <v>36.103188824620005</v>
      </c>
      <c r="H4" s="11">
        <f t="shared" si="0"/>
        <v>23.203001587080003</v>
      </c>
      <c r="I4" s="11">
        <f t="shared" si="0"/>
        <v>26.448960045984002</v>
      </c>
      <c r="J4" s="11">
        <f t="shared" si="0"/>
        <v>28.821622170768002</v>
      </c>
      <c r="K4" s="11">
        <f t="shared" si="0"/>
        <v>39.530424191159995</v>
      </c>
      <c r="L4" s="11">
        <f t="shared" si="0"/>
        <v>27.08521167996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16.350000000000001" customHeight="1">
      <c r="B5" s="31"/>
      <c r="C5" s="28"/>
      <c r="D5" s="28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</row>
    <row r="6" spans="1:25" s="17" customFormat="1" ht="15.75" customHeight="1" thickBot="1">
      <c r="A6" s="3" t="s">
        <v>109</v>
      </c>
      <c r="B6" s="4"/>
      <c r="C6" s="5" t="s">
        <v>27</v>
      </c>
      <c r="D6" s="5" t="s">
        <v>28</v>
      </c>
      <c r="E6" s="1" t="s">
        <v>21</v>
      </c>
      <c r="F6" s="2" t="s">
        <v>22</v>
      </c>
      <c r="G6" s="1" t="s">
        <v>25</v>
      </c>
      <c r="H6" s="2" t="s">
        <v>26</v>
      </c>
      <c r="I6" s="1" t="s">
        <v>91</v>
      </c>
      <c r="J6" s="2" t="s">
        <v>92</v>
      </c>
      <c r="K6" s="1" t="s">
        <v>88</v>
      </c>
      <c r="L6" s="1" t="s">
        <v>91</v>
      </c>
    </row>
    <row r="7" spans="1:25" ht="16.350000000000001" customHeight="1">
      <c r="B7" s="29" t="s">
        <v>71</v>
      </c>
      <c r="C7" s="28" t="s">
        <v>81</v>
      </c>
      <c r="D7" s="50" t="s">
        <v>147</v>
      </c>
      <c r="E7" s="9">
        <f>Commercial_monthly!E7+Commercial_monthly!F7+Commercial_monthly!G7</f>
        <v>163.5654354468</v>
      </c>
      <c r="F7" s="9">
        <f>Commercial_monthly!H7+Commercial_monthly!I7+Commercial_monthly!J7</f>
        <v>139.60147148614999</v>
      </c>
      <c r="G7" s="9">
        <f>Commercial_monthly!K7+Commercial_monthly!L7+Commercial_monthly!M7</f>
        <v>147.40836338135</v>
      </c>
      <c r="H7" s="9">
        <f>Commercial_monthly!P7+Commercial_monthly!O7+Commercial_monthly!N7</f>
        <v>143.3944063058</v>
      </c>
      <c r="I7" s="9">
        <f>Commercial_monthly!Q7+Commercial_monthly!R7+Commercial_monthly!S7</f>
        <v>181.887451386648</v>
      </c>
      <c r="J7" s="9">
        <f>Commercial_monthly!T7+Commercial_monthly!U7+Commercial_monthly!V7</f>
        <v>156.12366247737</v>
      </c>
      <c r="K7" s="9">
        <f>Commercial_monthly!W7+Commercial_monthly!X7+Commercial_monthly!Y7</f>
        <v>181.60184222149201</v>
      </c>
      <c r="L7" s="9">
        <f>Commercial_monthly!Z7+Commercial_monthly!AA7+Commercial_monthly!AB7</f>
        <v>181.863844022574</v>
      </c>
    </row>
    <row r="8" spans="1:25" ht="16.350000000000001" customHeight="1">
      <c r="B8" s="29" t="s">
        <v>116</v>
      </c>
      <c r="C8" s="28" t="s">
        <v>81</v>
      </c>
      <c r="D8" s="50" t="s">
        <v>147</v>
      </c>
      <c r="E8" s="9">
        <f>Commercial_monthly!E8+Commercial_monthly!F8+Commercial_monthly!G8</f>
        <v>10.431979883249999</v>
      </c>
      <c r="F8" s="9">
        <f>Commercial_monthly!H8+Commercial_monthly!I8+Commercial_monthly!J8</f>
        <v>35.602464135900007</v>
      </c>
      <c r="G8" s="9">
        <f>Commercial_monthly!K8+Commercial_monthly!L8+Commercial_monthly!M8</f>
        <v>65.783069730649999</v>
      </c>
      <c r="H8" s="9">
        <f>Commercial_monthly!P8+Commercial_monthly!O8+Commercial_monthly!N8</f>
        <v>7.7682046945999996</v>
      </c>
      <c r="I8" s="9">
        <f>Commercial_monthly!Q8+Commercial_monthly!R8+Commercial_monthly!S8</f>
        <v>10.028911619160001</v>
      </c>
      <c r="J8" s="9">
        <f>Commercial_monthly!T8+Commercial_monthly!U8+Commercial_monthly!V8</f>
        <v>30.474644038020003</v>
      </c>
      <c r="K8" s="9">
        <f>Commercial_monthly!W8+Commercial_monthly!X8+Commercial_monthly!Y8</f>
        <v>80.693823583842004</v>
      </c>
      <c r="L8" s="9">
        <f>Commercial_monthly!Z8+Commercial_monthly!AA8+Commercial_monthly!AB8</f>
        <v>23.918595087996</v>
      </c>
    </row>
    <row r="9" spans="1:25" ht="16.350000000000001" customHeight="1">
      <c r="B9" s="29" t="s">
        <v>1</v>
      </c>
      <c r="C9" s="28" t="s">
        <v>81</v>
      </c>
      <c r="D9" s="28"/>
      <c r="E9" s="9"/>
      <c r="F9" s="9"/>
    </row>
    <row r="10" spans="1:25" ht="16.350000000000001" customHeight="1">
      <c r="B10" s="30" t="s">
        <v>0</v>
      </c>
      <c r="C10" s="28" t="s">
        <v>81</v>
      </c>
      <c r="D10" s="50" t="s">
        <v>147</v>
      </c>
      <c r="E10" s="59">
        <f>E7+E8+E9</f>
        <v>173.99741533004999</v>
      </c>
      <c r="F10" s="59">
        <f t="shared" ref="F10:L10" si="1">F7+F8+F9</f>
        <v>175.20393562204998</v>
      </c>
      <c r="G10" s="59">
        <f t="shared" si="1"/>
        <v>213.191433112</v>
      </c>
      <c r="H10" s="59">
        <f t="shared" si="1"/>
        <v>151.16261100040001</v>
      </c>
      <c r="I10" s="59">
        <f t="shared" si="1"/>
        <v>191.91636300580799</v>
      </c>
      <c r="J10" s="59">
        <f t="shared" si="1"/>
        <v>186.59830651538999</v>
      </c>
      <c r="K10" s="59">
        <f t="shared" si="1"/>
        <v>262.29566580533401</v>
      </c>
      <c r="L10" s="59">
        <f t="shared" si="1"/>
        <v>205.78243911057001</v>
      </c>
    </row>
    <row r="11" spans="1:25" ht="16.350000000000001" customHeight="1">
      <c r="B11" s="31"/>
      <c r="C11" s="28"/>
      <c r="D11" s="28"/>
      <c r="E11" s="31"/>
      <c r="F11" s="31"/>
    </row>
    <row r="12" spans="1:25" s="17" customFormat="1" ht="16.149999999999999" customHeight="1" thickBot="1">
      <c r="A12" s="3" t="s">
        <v>114</v>
      </c>
      <c r="B12" s="25"/>
      <c r="C12" s="5" t="s">
        <v>27</v>
      </c>
      <c r="D12" s="5" t="s">
        <v>28</v>
      </c>
      <c r="E12" s="1" t="s">
        <v>21</v>
      </c>
      <c r="F12" s="2" t="s">
        <v>22</v>
      </c>
      <c r="G12" s="1" t="s">
        <v>25</v>
      </c>
      <c r="H12" s="2" t="s">
        <v>26</v>
      </c>
      <c r="I12" s="1" t="s">
        <v>91</v>
      </c>
      <c r="J12" s="2" t="s">
        <v>92</v>
      </c>
      <c r="K12" s="1" t="s">
        <v>88</v>
      </c>
      <c r="L12" s="1" t="s">
        <v>91</v>
      </c>
    </row>
    <row r="13" spans="1:25" ht="16.350000000000001" customHeight="1">
      <c r="B13" s="29" t="s">
        <v>82</v>
      </c>
      <c r="C13" s="28" t="s">
        <v>72</v>
      </c>
      <c r="D13" s="50" t="s">
        <v>148</v>
      </c>
      <c r="E13" s="9">
        <v>13.24</v>
      </c>
      <c r="F13" s="9">
        <v>13.24</v>
      </c>
      <c r="G13" s="9">
        <v>13.24</v>
      </c>
      <c r="H13" s="9">
        <v>13.24</v>
      </c>
      <c r="I13" s="9">
        <v>13.72</v>
      </c>
      <c r="J13" s="9">
        <v>13.72</v>
      </c>
      <c r="K13" s="9">
        <v>13.72</v>
      </c>
      <c r="L13" s="9">
        <v>13.72</v>
      </c>
    </row>
    <row r="14" spans="1:25" ht="16.350000000000001" customHeight="1">
      <c r="B14" s="29" t="s">
        <v>1</v>
      </c>
      <c r="C14" s="28" t="s">
        <v>72</v>
      </c>
      <c r="D14" s="28"/>
      <c r="E14" s="9"/>
      <c r="F14" s="9"/>
    </row>
    <row r="15" spans="1:25" ht="16.350000000000001" customHeight="1">
      <c r="B15" s="30" t="s">
        <v>0</v>
      </c>
      <c r="C15" s="28" t="s">
        <v>72</v>
      </c>
      <c r="D15" s="28"/>
      <c r="E15" s="9"/>
      <c r="F15" s="9"/>
    </row>
    <row r="16" spans="1:25" ht="16.350000000000001" customHeight="1">
      <c r="B16" s="31"/>
      <c r="C16" s="28"/>
      <c r="D16" s="28"/>
      <c r="E16" s="31"/>
      <c r="F16" s="31"/>
    </row>
    <row r="17" spans="1:12" s="17" customFormat="1" ht="16.149999999999999" customHeight="1" thickBot="1">
      <c r="A17" s="3" t="s">
        <v>115</v>
      </c>
      <c r="B17" s="25"/>
      <c r="C17" s="5" t="s">
        <v>27</v>
      </c>
      <c r="D17" s="5" t="s">
        <v>28</v>
      </c>
      <c r="E17" s="1" t="s">
        <v>21</v>
      </c>
      <c r="F17" s="2" t="s">
        <v>22</v>
      </c>
      <c r="G17" s="1" t="s">
        <v>25</v>
      </c>
      <c r="H17" s="2" t="s">
        <v>26</v>
      </c>
      <c r="I17" s="1" t="s">
        <v>91</v>
      </c>
      <c r="J17" s="2" t="s">
        <v>92</v>
      </c>
      <c r="K17" s="1" t="s">
        <v>88</v>
      </c>
      <c r="L17" s="1" t="s">
        <v>91</v>
      </c>
    </row>
    <row r="18" spans="1:12" ht="16.350000000000001" customHeight="1">
      <c r="B18" s="29" t="s">
        <v>71</v>
      </c>
      <c r="C18" s="28" t="s">
        <v>72</v>
      </c>
      <c r="D18" s="50" t="s">
        <v>149</v>
      </c>
      <c r="E18" s="9">
        <v>2.9</v>
      </c>
      <c r="F18" s="9">
        <v>2.9</v>
      </c>
      <c r="G18" s="9">
        <v>2.9</v>
      </c>
      <c r="H18" s="9">
        <v>2.9</v>
      </c>
      <c r="I18" s="9">
        <v>3.29</v>
      </c>
      <c r="J18" s="9">
        <v>3.29</v>
      </c>
      <c r="K18" s="9">
        <v>3.29</v>
      </c>
      <c r="L18" s="9">
        <v>3.29</v>
      </c>
    </row>
    <row r="19" spans="1:12" ht="16.350000000000001" customHeight="1">
      <c r="B19" s="29" t="s">
        <v>116</v>
      </c>
      <c r="C19" s="28" t="s">
        <v>72</v>
      </c>
      <c r="D19" s="50" t="s">
        <v>149</v>
      </c>
      <c r="E19" s="9">
        <v>2.9</v>
      </c>
      <c r="F19" s="9">
        <v>2.9</v>
      </c>
      <c r="G19" s="9">
        <v>2.9</v>
      </c>
      <c r="H19" s="9">
        <v>2.9</v>
      </c>
      <c r="I19" s="9">
        <v>3.29</v>
      </c>
      <c r="J19" s="9">
        <v>3.29</v>
      </c>
      <c r="K19" s="9">
        <v>3.29</v>
      </c>
      <c r="L19" s="9">
        <v>3.29</v>
      </c>
    </row>
    <row r="20" spans="1:12" ht="16.350000000000001" customHeight="1">
      <c r="B20" s="29" t="s">
        <v>1</v>
      </c>
      <c r="C20" s="28" t="s">
        <v>72</v>
      </c>
      <c r="D20" s="28"/>
      <c r="E20" s="9"/>
      <c r="F20" s="9"/>
    </row>
    <row r="21" spans="1:12" ht="16.350000000000001" customHeight="1">
      <c r="B21" s="30" t="s">
        <v>0</v>
      </c>
      <c r="C21" s="28" t="s">
        <v>72</v>
      </c>
      <c r="D21" s="28"/>
      <c r="E21" s="9"/>
      <c r="F21" s="9"/>
    </row>
    <row r="22" spans="1:12" ht="16.350000000000001" customHeight="1">
      <c r="B22" s="31"/>
      <c r="C22" s="28"/>
      <c r="D22" s="28"/>
      <c r="E22" s="31"/>
      <c r="F22" s="31"/>
    </row>
    <row r="23" spans="1:12" s="17" customFormat="1" ht="15.75" customHeight="1" thickBot="1">
      <c r="A23" s="3" t="s">
        <v>112</v>
      </c>
      <c r="B23" s="4"/>
      <c r="C23" s="5" t="s">
        <v>27</v>
      </c>
      <c r="D23" s="5" t="s">
        <v>28</v>
      </c>
      <c r="E23" s="1" t="s">
        <v>21</v>
      </c>
      <c r="F23" s="2" t="s">
        <v>22</v>
      </c>
      <c r="G23" s="1" t="s">
        <v>25</v>
      </c>
      <c r="H23" s="2" t="s">
        <v>26</v>
      </c>
      <c r="I23" s="1" t="s">
        <v>91</v>
      </c>
      <c r="J23" s="2" t="s">
        <v>92</v>
      </c>
      <c r="K23" s="1" t="s">
        <v>88</v>
      </c>
      <c r="L23" s="1" t="s">
        <v>91</v>
      </c>
    </row>
    <row r="24" spans="1:12" ht="16.350000000000001" customHeight="1">
      <c r="B24" s="29" t="s">
        <v>71</v>
      </c>
      <c r="C24" s="28" t="s">
        <v>81</v>
      </c>
      <c r="D24" s="28"/>
      <c r="E24" s="9">
        <f>Commercial_monthly!E24+Commercial_monthly!F24+Commercial_monthly!G24</f>
        <v>68.461924859999996</v>
      </c>
      <c r="F24" s="9">
        <f>Commercial_monthly!H24+Commercial_monthly!I24+Commercial_monthly!J24</f>
        <v>63.451470160000007</v>
      </c>
      <c r="G24" s="9">
        <f>Commercial_monthly!K24+Commercial_monthly!L24+Commercial_monthly!M24</f>
        <v>75.650786019999998</v>
      </c>
      <c r="H24" s="9">
        <f>Commercial_monthly!N24+Commercial_monthly!O24+Commercial_monthly!P24</f>
        <v>97.819869589999996</v>
      </c>
      <c r="I24" s="9">
        <f>Commercial_monthly!Q24+Commercial_monthly!R24+Commercial_monthly!S24</f>
        <v>93.998577549999993</v>
      </c>
      <c r="J24" s="9">
        <f>Commercial_monthly!T24+Commercial_monthly!U24+Commercial_monthly!V24</f>
        <v>80.532974060000001</v>
      </c>
      <c r="K24" s="9">
        <f>Commercial_monthly!W24+Commercial_monthly!X24+Commercial_monthly!Y24</f>
        <v>101.98921780000001</v>
      </c>
      <c r="L24" s="9">
        <f>Commercial_monthly!Z24+Commercial_monthly!AA24+Commercial_monthly!AB24</f>
        <v>110.15060366</v>
      </c>
    </row>
    <row r="25" spans="1:12" ht="16.350000000000001" customHeight="1">
      <c r="B25" s="29" t="s">
        <v>116</v>
      </c>
      <c r="C25" s="28" t="s">
        <v>81</v>
      </c>
      <c r="D25" s="28"/>
      <c r="E25" s="9">
        <f>Commercial_monthly!E25+Commercial_monthly!F25+Commercial_monthly!G25</f>
        <v>4.7320000000000001E-2</v>
      </c>
      <c r="F25" s="9">
        <f>Commercial_monthly!H25+Commercial_monthly!I25+Commercial_monthly!J25</f>
        <v>0</v>
      </c>
      <c r="G25" s="9">
        <f>Commercial_monthly!K25+Commercial_monthly!L25+Commercial_monthly!M25</f>
        <v>0</v>
      </c>
      <c r="H25" s="9">
        <f>Commercial_monthly!N25+Commercial_monthly!O25+Commercial_monthly!P25</f>
        <v>0</v>
      </c>
      <c r="I25" s="9">
        <f>Commercial_monthly!Q25+Commercial_monthly!R25+Commercial_monthly!S25</f>
        <v>0</v>
      </c>
      <c r="J25" s="9">
        <f>Commercial_monthly!T25+Commercial_monthly!U25+Commercial_monthly!V25</f>
        <v>0</v>
      </c>
      <c r="K25" s="9">
        <f>Commercial_monthly!W25+Commercial_monthly!X25+Commercial_monthly!Y25</f>
        <v>0</v>
      </c>
      <c r="L25" s="9">
        <f>Commercial_monthly!Z25+Commercial_monthly!AA25+Commercial_monthly!AB25</f>
        <v>0</v>
      </c>
    </row>
    <row r="26" spans="1:12" ht="16.350000000000001" customHeight="1">
      <c r="B26" s="29" t="s">
        <v>1</v>
      </c>
      <c r="C26" s="28" t="s">
        <v>81</v>
      </c>
      <c r="D26" s="28"/>
      <c r="E26" s="9">
        <f>Commercial_monthly!E26+Commercial_monthly!F26+Commercial_monthly!G26</f>
        <v>0</v>
      </c>
      <c r="F26" s="9">
        <f>Commercial_monthly!H26+Commercial_monthly!I26+Commercial_monthly!J26</f>
        <v>0</v>
      </c>
      <c r="G26" s="9">
        <f>Commercial_monthly!K26+Commercial_monthly!L26+Commercial_monthly!M26</f>
        <v>0</v>
      </c>
      <c r="H26" s="9">
        <f>Commercial_monthly!N26+Commercial_monthly!O26+Commercial_monthly!P26</f>
        <v>0</v>
      </c>
      <c r="I26" s="9">
        <f>Commercial_monthly!Q26+Commercial_monthly!R26+Commercial_monthly!S26</f>
        <v>0</v>
      </c>
      <c r="J26" s="9">
        <f>Commercial_monthly!T26+Commercial_monthly!U26+Commercial_monthly!V26</f>
        <v>0</v>
      </c>
      <c r="K26" s="9">
        <f>Commercial_monthly!W26+Commercial_monthly!X26+Commercial_monthly!Y26</f>
        <v>0</v>
      </c>
      <c r="L26" s="9">
        <f>Commercial_monthly!Z26+Commercial_monthly!AA26+Commercial_monthly!AB26</f>
        <v>0</v>
      </c>
    </row>
    <row r="27" spans="1:12" ht="16.350000000000001" customHeight="1">
      <c r="B27" s="30" t="s">
        <v>0</v>
      </c>
      <c r="C27" s="28" t="s">
        <v>81</v>
      </c>
      <c r="D27" s="28"/>
      <c r="E27" s="59">
        <f>E24+E25+E26</f>
        <v>68.509244859999995</v>
      </c>
      <c r="F27" s="59">
        <f t="shared" ref="F27:L27" si="2">F24+F25+F26</f>
        <v>63.451470160000007</v>
      </c>
      <c r="G27" s="59">
        <f t="shared" si="2"/>
        <v>75.650786019999998</v>
      </c>
      <c r="H27" s="59">
        <f t="shared" si="2"/>
        <v>97.819869589999996</v>
      </c>
      <c r="I27" s="59">
        <f t="shared" si="2"/>
        <v>93.998577549999993</v>
      </c>
      <c r="J27" s="59">
        <f t="shared" si="2"/>
        <v>80.532974060000001</v>
      </c>
      <c r="K27" s="59">
        <f t="shared" si="2"/>
        <v>101.98921780000001</v>
      </c>
      <c r="L27" s="59">
        <f t="shared" si="2"/>
        <v>110.15060366</v>
      </c>
    </row>
    <row r="28" spans="1:12" ht="16.350000000000001" customHeight="1">
      <c r="B28" s="14"/>
      <c r="C28" s="28"/>
      <c r="D28" s="28"/>
    </row>
    <row r="29" spans="1:12" s="17" customFormat="1" ht="15.75" customHeight="1" thickBot="1">
      <c r="A29" s="3" t="s">
        <v>113</v>
      </c>
      <c r="B29" s="4"/>
      <c r="C29" s="5" t="s">
        <v>27</v>
      </c>
      <c r="D29" s="5" t="s">
        <v>28</v>
      </c>
      <c r="E29" s="1" t="s">
        <v>21</v>
      </c>
      <c r="F29" s="2" t="s">
        <v>22</v>
      </c>
      <c r="G29" s="1" t="s">
        <v>25</v>
      </c>
      <c r="H29" s="2" t="s">
        <v>26</v>
      </c>
      <c r="I29" s="1" t="s">
        <v>91</v>
      </c>
      <c r="J29" s="2" t="s">
        <v>92</v>
      </c>
      <c r="K29" s="1" t="s">
        <v>88</v>
      </c>
      <c r="L29" s="1" t="s">
        <v>91</v>
      </c>
    </row>
    <row r="30" spans="1:12" ht="16.350000000000001" customHeight="1">
      <c r="B30" s="29" t="s">
        <v>71</v>
      </c>
      <c r="C30" s="15" t="s">
        <v>83</v>
      </c>
      <c r="D30" s="15"/>
      <c r="E30" s="32">
        <f>E24/E7</f>
        <v>0.41855985448873995</v>
      </c>
      <c r="F30" s="32">
        <f t="shared" ref="F30:L30" si="3">F24/F7</f>
        <v>0.45451863425590822</v>
      </c>
      <c r="G30" s="32">
        <f t="shared" si="3"/>
        <v>0.51320552161812605</v>
      </c>
      <c r="H30" s="32">
        <f t="shared" si="3"/>
        <v>0.68217353877383002</v>
      </c>
      <c r="I30" s="32">
        <f t="shared" si="3"/>
        <v>0.51679528649935358</v>
      </c>
      <c r="J30" s="32">
        <f t="shared" si="3"/>
        <v>0.51582811203697698</v>
      </c>
      <c r="K30" s="32">
        <f t="shared" si="3"/>
        <v>0.56160893828162883</v>
      </c>
      <c r="L30" s="32">
        <f t="shared" si="3"/>
        <v>0.60567620932023991</v>
      </c>
    </row>
    <row r="31" spans="1:12" ht="16.350000000000001" customHeight="1">
      <c r="B31" s="29" t="s">
        <v>116</v>
      </c>
      <c r="C31" s="15" t="s">
        <v>83</v>
      </c>
      <c r="D31" s="15"/>
      <c r="E31" s="32">
        <f t="shared" ref="E31:L31" si="4">E25/E8</f>
        <v>4.5360516919687385E-3</v>
      </c>
      <c r="F31" s="32">
        <f t="shared" si="4"/>
        <v>0</v>
      </c>
      <c r="G31" s="32">
        <f t="shared" si="4"/>
        <v>0</v>
      </c>
      <c r="H31" s="32">
        <f t="shared" si="4"/>
        <v>0</v>
      </c>
      <c r="I31" s="32">
        <f t="shared" si="4"/>
        <v>0</v>
      </c>
      <c r="J31" s="32">
        <f t="shared" si="4"/>
        <v>0</v>
      </c>
      <c r="K31" s="32">
        <f t="shared" si="4"/>
        <v>0</v>
      </c>
      <c r="L31" s="32">
        <f t="shared" si="4"/>
        <v>0</v>
      </c>
    </row>
    <row r="32" spans="1:12" ht="16.350000000000001" customHeight="1">
      <c r="B32" s="29" t="s">
        <v>1</v>
      </c>
      <c r="C32" s="15" t="s">
        <v>83</v>
      </c>
      <c r="D32" s="13"/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</row>
    <row r="33" spans="2:12" ht="16.350000000000001" customHeight="1">
      <c r="B33" s="30" t="s">
        <v>0</v>
      </c>
      <c r="C33" s="15" t="s">
        <v>83</v>
      </c>
      <c r="D33" s="28"/>
      <c r="E33" s="60">
        <f>E27/E10</f>
        <v>0.39373714103768181</v>
      </c>
      <c r="F33" s="60">
        <f t="shared" ref="F33:L33" si="5">F27/F10</f>
        <v>0.36215779020442523</v>
      </c>
      <c r="G33" s="60">
        <f t="shared" si="5"/>
        <v>0.35484908992687758</v>
      </c>
      <c r="H33" s="60">
        <f t="shared" si="5"/>
        <v>0.64711682963547879</v>
      </c>
      <c r="I33" s="60">
        <f t="shared" si="5"/>
        <v>0.48978928152757512</v>
      </c>
      <c r="J33" s="60">
        <f t="shared" si="5"/>
        <v>0.4315846995822436</v>
      </c>
      <c r="K33" s="60">
        <f t="shared" si="5"/>
        <v>0.38883302736573838</v>
      </c>
      <c r="L33" s="60">
        <f t="shared" si="5"/>
        <v>0.53527698542252389</v>
      </c>
    </row>
    <row r="34" spans="2:12" ht="16.350000000000001" customHeight="1">
      <c r="B34" s="14"/>
      <c r="C34" s="28"/>
      <c r="D34" s="28"/>
    </row>
    <row r="35" spans="2:12" ht="16.350000000000001" customHeight="1">
      <c r="B35" s="7"/>
      <c r="C35" s="28"/>
      <c r="D35" s="28"/>
    </row>
    <row r="36" spans="2:12" ht="16.350000000000001" customHeight="1">
      <c r="B36" s="7"/>
      <c r="C36" s="28"/>
      <c r="D36" s="28"/>
    </row>
    <row r="37" spans="2:12" ht="16.350000000000001" customHeight="1">
      <c r="B37" s="7"/>
      <c r="C37" s="28"/>
      <c r="D37" s="28"/>
    </row>
    <row r="38" spans="2:12" ht="16.350000000000001" customHeight="1">
      <c r="B38" s="7"/>
      <c r="C38" s="28"/>
      <c r="D38" s="28"/>
    </row>
    <row r="39" spans="2:12" ht="16.350000000000001" customHeight="1">
      <c r="B39" s="7"/>
      <c r="C39" s="28"/>
      <c r="D39" s="28"/>
    </row>
    <row r="40" spans="2:12">
      <c r="B40" s="7"/>
      <c r="C40" s="28"/>
      <c r="D40" s="28"/>
    </row>
    <row r="41" spans="2:12">
      <c r="B41" s="7"/>
      <c r="C41" s="28"/>
      <c r="D41" s="28"/>
    </row>
    <row r="42" spans="2:12">
      <c r="B42" s="7"/>
      <c r="C42" s="28"/>
      <c r="D42" s="28"/>
    </row>
    <row r="43" spans="2:12">
      <c r="B43" s="7"/>
      <c r="C43" s="28"/>
      <c r="D43" s="28"/>
    </row>
    <row r="44" spans="2:12">
      <c r="B44" s="14"/>
      <c r="C44" s="28"/>
      <c r="D44" s="28"/>
    </row>
    <row r="45" spans="2:12">
      <c r="B45" s="14"/>
      <c r="C45" s="28"/>
      <c r="D45" s="28"/>
    </row>
    <row r="46" spans="2:12">
      <c r="B46" s="14"/>
      <c r="C46" s="15"/>
      <c r="D46" s="15"/>
    </row>
    <row r="47" spans="2:12">
      <c r="B47" s="14"/>
      <c r="C47" s="13"/>
      <c r="D47" s="13"/>
    </row>
    <row r="48" spans="2:12">
      <c r="B48" s="14"/>
      <c r="C48" s="28"/>
      <c r="D48" s="28"/>
    </row>
    <row r="49" spans="2:4">
      <c r="B49" s="14"/>
      <c r="C49" s="28"/>
      <c r="D49" s="28"/>
    </row>
    <row r="50" spans="2:4">
      <c r="B50" s="14"/>
      <c r="C50" s="28"/>
      <c r="D50" s="28"/>
    </row>
    <row r="51" spans="2:4">
      <c r="B51" s="14"/>
      <c r="C51" s="28"/>
      <c r="D51" s="28"/>
    </row>
    <row r="52" spans="2:4">
      <c r="B52" s="14"/>
      <c r="C52" s="28"/>
      <c r="D52" s="28"/>
    </row>
    <row r="53" spans="2:4">
      <c r="B53" s="14"/>
      <c r="C53" s="28"/>
      <c r="D53" s="28"/>
    </row>
    <row r="54" spans="2:4">
      <c r="C54" s="28"/>
      <c r="D54" s="28"/>
    </row>
    <row r="55" spans="2:4">
      <c r="C55" s="28"/>
      <c r="D55" s="28"/>
    </row>
    <row r="56" spans="2:4">
      <c r="C56" s="28"/>
      <c r="D56" s="28"/>
    </row>
    <row r="57" spans="2:4">
      <c r="C57" s="28"/>
      <c r="D57" s="28"/>
    </row>
    <row r="58" spans="2:4">
      <c r="C58" s="28"/>
      <c r="D58" s="28"/>
    </row>
    <row r="59" spans="2:4">
      <c r="C59" s="13"/>
      <c r="D59" s="13"/>
    </row>
    <row r="60" spans="2:4">
      <c r="C60" s="28"/>
      <c r="D60" s="28"/>
    </row>
    <row r="61" spans="2:4">
      <c r="C61" s="28"/>
      <c r="D61" s="28"/>
    </row>
    <row r="62" spans="2:4">
      <c r="C62" s="28"/>
      <c r="D62" s="28"/>
    </row>
    <row r="63" spans="2:4">
      <c r="C63" s="28"/>
      <c r="D63" s="28"/>
    </row>
    <row r="64" spans="2:4">
      <c r="C64" s="28"/>
      <c r="D64" s="28"/>
    </row>
    <row r="65" spans="3:4">
      <c r="C65" s="28"/>
      <c r="D65" s="28"/>
    </row>
    <row r="66" spans="3:4">
      <c r="C66" s="15"/>
      <c r="D66" s="15"/>
    </row>
    <row r="67" spans="3:4">
      <c r="C67" s="13"/>
      <c r="D67" s="13"/>
    </row>
    <row r="68" spans="3:4">
      <c r="C68" s="28"/>
      <c r="D68" s="28"/>
    </row>
    <row r="69" spans="3:4">
      <c r="C69" s="28"/>
      <c r="D69" s="28"/>
    </row>
    <row r="70" spans="3:4">
      <c r="C70" s="28"/>
      <c r="D70" s="28"/>
    </row>
    <row r="71" spans="3:4">
      <c r="C71" s="28"/>
      <c r="D71" s="28"/>
    </row>
    <row r="72" spans="3:4">
      <c r="C72" s="28"/>
      <c r="D72" s="28"/>
    </row>
    <row r="73" spans="3:4">
      <c r="C73" s="28"/>
      <c r="D73" s="28"/>
    </row>
    <row r="74" spans="3:4">
      <c r="C74" s="28"/>
      <c r="D74" s="28"/>
    </row>
    <row r="75" spans="3:4">
      <c r="C75" s="28"/>
      <c r="D75" s="28"/>
    </row>
    <row r="76" spans="3:4">
      <c r="C76" s="28"/>
      <c r="D76" s="28"/>
    </row>
    <row r="77" spans="3:4">
      <c r="C77" s="33"/>
      <c r="D77" s="33"/>
    </row>
    <row r="78" spans="3:4">
      <c r="C78" s="15"/>
      <c r="D78" s="15"/>
    </row>
    <row r="79" spans="3:4">
      <c r="C79" s="13"/>
      <c r="D79" s="13"/>
    </row>
    <row r="80" spans="3:4">
      <c r="C80" s="28"/>
      <c r="D80" s="28"/>
    </row>
    <row r="81" spans="3:4">
      <c r="C81" s="28"/>
      <c r="D81" s="28"/>
    </row>
    <row r="82" spans="3:4">
      <c r="C82" s="28"/>
      <c r="D82" s="28"/>
    </row>
    <row r="83" spans="3:4">
      <c r="C83" s="28"/>
      <c r="D83" s="28"/>
    </row>
    <row r="84" spans="3:4">
      <c r="C84" s="28"/>
      <c r="D84" s="28"/>
    </row>
    <row r="85" spans="3:4">
      <c r="C85" s="28"/>
      <c r="D85" s="28"/>
    </row>
    <row r="86" spans="3:4">
      <c r="C86" s="28"/>
      <c r="D86" s="28"/>
    </row>
    <row r="87" spans="3:4">
      <c r="C87" s="28"/>
      <c r="D87" s="28"/>
    </row>
    <row r="88" spans="3:4">
      <c r="C88" s="28"/>
      <c r="D88" s="28"/>
    </row>
    <row r="89" spans="3:4">
      <c r="C89" s="33"/>
      <c r="D89" s="33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</sheetPr>
  <dimension ref="A1:AB89"/>
  <sheetViews>
    <sheetView zoomScale="85" zoomScaleNormal="85" workbookViewId="0">
      <selection activeCell="S17" sqref="S17"/>
    </sheetView>
  </sheetViews>
  <sheetFormatPr defaultColWidth="8" defaultRowHeight="12.75"/>
  <cols>
    <col min="1" max="1" width="8" style="7"/>
    <col min="2" max="2" width="39.7109375" style="26" customWidth="1"/>
    <col min="3" max="3" width="7.7109375" style="22" customWidth="1"/>
    <col min="4" max="4" width="12" style="22" customWidth="1"/>
    <col min="5" max="5" width="7" style="7" bestFit="1" customWidth="1"/>
    <col min="6" max="6" width="7.5703125" style="7" bestFit="1" customWidth="1"/>
    <col min="7" max="7" width="7.140625" style="7" bestFit="1" customWidth="1"/>
    <col min="8" max="8" width="7" style="7" bestFit="1" customWidth="1"/>
    <col min="9" max="9" width="7.140625" style="7" bestFit="1" customWidth="1"/>
    <col min="10" max="11" width="7.5703125" style="7" bestFit="1" customWidth="1"/>
    <col min="12" max="12" width="6.7109375" style="7" bestFit="1" customWidth="1"/>
    <col min="13" max="13" width="7" style="7" bestFit="1" customWidth="1"/>
    <col min="14" max="14" width="6.7109375" style="7" bestFit="1" customWidth="1"/>
    <col min="15" max="17" width="7" style="7" bestFit="1" customWidth="1"/>
    <col min="18" max="18" width="7.5703125" style="7" bestFit="1" customWidth="1"/>
    <col min="19" max="19" width="7.140625" style="7" bestFit="1" customWidth="1"/>
    <col min="20" max="20" width="7" style="7" bestFit="1" customWidth="1"/>
    <col min="21" max="21" width="7.140625" style="7" bestFit="1" customWidth="1"/>
    <col min="22" max="23" width="7.5703125" style="7" bestFit="1" customWidth="1"/>
    <col min="24" max="24" width="6.7109375" style="7" bestFit="1" customWidth="1"/>
    <col min="25" max="25" width="7" style="7" bestFit="1" customWidth="1"/>
    <col min="26" max="26" width="6.7109375" style="7" bestFit="1" customWidth="1"/>
    <col min="27" max="28" width="7" style="7" bestFit="1" customWidth="1"/>
    <col min="29" max="16384" width="8" style="7"/>
  </cols>
  <sheetData>
    <row r="1" spans="1:28" s="17" customFormat="1" ht="15.75" customHeight="1" thickBot="1">
      <c r="A1" s="3" t="s">
        <v>90</v>
      </c>
      <c r="B1" s="4"/>
      <c r="C1" s="5" t="s">
        <v>27</v>
      </c>
      <c r="D1" s="5" t="s">
        <v>28</v>
      </c>
      <c r="E1" s="6">
        <v>44927</v>
      </c>
      <c r="F1" s="6">
        <v>44958</v>
      </c>
      <c r="G1" s="6">
        <v>44986</v>
      </c>
      <c r="H1" s="6">
        <v>45017</v>
      </c>
      <c r="I1" s="6">
        <v>45047</v>
      </c>
      <c r="J1" s="6">
        <v>45078</v>
      </c>
      <c r="K1" s="6">
        <v>45108</v>
      </c>
      <c r="L1" s="6">
        <v>45139</v>
      </c>
      <c r="M1" s="6">
        <v>45170</v>
      </c>
      <c r="N1" s="6">
        <v>45200</v>
      </c>
      <c r="O1" s="6">
        <v>45231</v>
      </c>
      <c r="P1" s="6">
        <v>45261</v>
      </c>
      <c r="Q1" s="6">
        <v>45292</v>
      </c>
      <c r="R1" s="6">
        <v>45323</v>
      </c>
      <c r="S1" s="6">
        <v>45352</v>
      </c>
      <c r="T1" s="6">
        <v>45383</v>
      </c>
      <c r="U1" s="6">
        <v>45413</v>
      </c>
      <c r="V1" s="6">
        <v>45444</v>
      </c>
      <c r="W1" s="6">
        <v>45474</v>
      </c>
      <c r="X1" s="6">
        <v>45505</v>
      </c>
      <c r="Y1" s="6">
        <v>45536</v>
      </c>
      <c r="Z1" s="6">
        <v>45566</v>
      </c>
      <c r="AA1" s="6">
        <v>45597</v>
      </c>
      <c r="AB1" s="6">
        <v>45627</v>
      </c>
    </row>
    <row r="2" spans="1:28" ht="16.350000000000001" customHeight="1">
      <c r="B2" s="29" t="s">
        <v>82</v>
      </c>
      <c r="C2" s="28" t="s">
        <v>81</v>
      </c>
      <c r="D2" s="50" t="s">
        <v>147</v>
      </c>
      <c r="E2" s="9">
        <f>13063452.59034/1000000</f>
        <v>13.063452590339999</v>
      </c>
      <c r="F2" s="9">
        <f>8296155.44794/1000000</f>
        <v>8.2961554479400004</v>
      </c>
      <c r="G2" s="9">
        <f>6331723.7257/1000000</f>
        <v>6.3317237256999999</v>
      </c>
      <c r="H2" s="9">
        <f>7703072.4482/1000000</f>
        <v>7.7030724482000004</v>
      </c>
      <c r="I2" s="9">
        <f>10864825.49882/1000000</f>
        <v>10.86482549882</v>
      </c>
      <c r="J2" s="9">
        <f>11541675.55564/1000000</f>
        <v>11.541675555640001</v>
      </c>
      <c r="K2" s="9">
        <f>13084106.65934/1000000</f>
        <v>13.08410665934</v>
      </c>
      <c r="L2" s="9">
        <f>12802852.74864/1000000</f>
        <v>12.802852748640001</v>
      </c>
      <c r="M2" s="9">
        <f>10216229.41664/1000000</f>
        <v>10.216229416640001</v>
      </c>
      <c r="N2" s="9">
        <f>6570217.6993/1000000</f>
        <v>6.5702176993000005</v>
      </c>
      <c r="O2" s="9">
        <f>7181690.8141/1000000</f>
        <v>7.1816908141000004</v>
      </c>
      <c r="P2" s="9">
        <f>9451093.07368/1000000</f>
        <v>9.451093073680001</v>
      </c>
      <c r="Q2" s="9">
        <f>10066506.781296/1000000</f>
        <v>10.066506781296001</v>
      </c>
      <c r="R2" s="9">
        <f>9538216.55136/1000000</f>
        <v>9.5382165513599997</v>
      </c>
      <c r="S2" s="9">
        <f>6844236.713328/1000000</f>
        <v>6.8442367133279998</v>
      </c>
      <c r="T2" s="9">
        <f>6307796.375328/1000000</f>
        <v>6.3077963753279995</v>
      </c>
      <c r="U2" s="9">
        <f>10056078.590712/1000000</f>
        <v>10.056078590712</v>
      </c>
      <c r="V2" s="9">
        <f>12457747.204728/1000000</f>
        <v>12.457747204727999</v>
      </c>
      <c r="W2" s="9">
        <f>14803414.716384/1000000</f>
        <v>14.803414716383999</v>
      </c>
      <c r="X2" s="9">
        <f>14563123.541904/1000000</f>
        <v>14.563123541904</v>
      </c>
      <c r="Y2" s="9">
        <f>10163885.932872/1000000</f>
        <v>10.163885932871999</v>
      </c>
      <c r="Z2" s="55">
        <f>7240746.164904/1000000</f>
        <v>7.2407461649040004</v>
      </c>
      <c r="AA2" s="9">
        <f>8280287.537256/1000000</f>
        <v>8.2802875372559992</v>
      </c>
      <c r="AB2" s="9">
        <f>11564177.9778/1000000</f>
        <v>11.5641779778</v>
      </c>
    </row>
    <row r="3" spans="1:28" ht="16.350000000000001" customHeight="1">
      <c r="B3" s="29" t="s">
        <v>1</v>
      </c>
      <c r="C3" s="28" t="s">
        <v>81</v>
      </c>
      <c r="D3" s="28"/>
      <c r="E3" s="9">
        <v>0</v>
      </c>
      <c r="F3" s="9">
        <v>0</v>
      </c>
      <c r="G3" s="9">
        <v>0</v>
      </c>
      <c r="H3" s="9">
        <v>0</v>
      </c>
      <c r="I3" s="9">
        <v>0</v>
      </c>
      <c r="J3" s="9">
        <v>0</v>
      </c>
      <c r="K3" s="9">
        <v>0</v>
      </c>
      <c r="L3" s="9">
        <v>0</v>
      </c>
      <c r="M3" s="9">
        <v>0</v>
      </c>
      <c r="N3" s="9">
        <v>0</v>
      </c>
      <c r="O3" s="9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</row>
    <row r="4" spans="1:28" ht="16.350000000000001" customHeight="1">
      <c r="B4" s="30" t="s">
        <v>0</v>
      </c>
      <c r="C4" s="28" t="s">
        <v>81</v>
      </c>
      <c r="D4" s="50" t="s">
        <v>147</v>
      </c>
      <c r="E4" s="11">
        <f>E2+E3</f>
        <v>13.063452590339999</v>
      </c>
      <c r="F4" s="11">
        <f t="shared" ref="F4:AB4" si="0">F2+F3</f>
        <v>8.2961554479400004</v>
      </c>
      <c r="G4" s="11">
        <f t="shared" si="0"/>
        <v>6.3317237256999999</v>
      </c>
      <c r="H4" s="11">
        <f t="shared" si="0"/>
        <v>7.7030724482000004</v>
      </c>
      <c r="I4" s="11">
        <f t="shared" si="0"/>
        <v>10.86482549882</v>
      </c>
      <c r="J4" s="11">
        <f t="shared" si="0"/>
        <v>11.541675555640001</v>
      </c>
      <c r="K4" s="11">
        <f t="shared" si="0"/>
        <v>13.08410665934</v>
      </c>
      <c r="L4" s="11">
        <f t="shared" si="0"/>
        <v>12.802852748640001</v>
      </c>
      <c r="M4" s="11">
        <f t="shared" si="0"/>
        <v>10.216229416640001</v>
      </c>
      <c r="N4" s="11">
        <f t="shared" si="0"/>
        <v>6.5702176993000005</v>
      </c>
      <c r="O4" s="11">
        <f t="shared" si="0"/>
        <v>7.1816908141000004</v>
      </c>
      <c r="P4" s="11">
        <f t="shared" si="0"/>
        <v>9.451093073680001</v>
      </c>
      <c r="Q4" s="11">
        <f t="shared" si="0"/>
        <v>10.066506781296001</v>
      </c>
      <c r="R4" s="11">
        <f t="shared" si="0"/>
        <v>9.5382165513599997</v>
      </c>
      <c r="S4" s="11">
        <f t="shared" si="0"/>
        <v>6.8442367133279998</v>
      </c>
      <c r="T4" s="11">
        <f t="shared" si="0"/>
        <v>6.3077963753279995</v>
      </c>
      <c r="U4" s="11">
        <f t="shared" si="0"/>
        <v>10.056078590712</v>
      </c>
      <c r="V4" s="11">
        <f t="shared" si="0"/>
        <v>12.457747204727999</v>
      </c>
      <c r="W4" s="11">
        <f t="shared" si="0"/>
        <v>14.803414716383999</v>
      </c>
      <c r="X4" s="11">
        <f t="shared" si="0"/>
        <v>14.563123541904</v>
      </c>
      <c r="Y4" s="11">
        <f t="shared" si="0"/>
        <v>10.163885932871999</v>
      </c>
      <c r="Z4" s="11">
        <f t="shared" si="0"/>
        <v>7.2407461649040004</v>
      </c>
      <c r="AA4" s="11">
        <f t="shared" si="0"/>
        <v>8.2802875372559992</v>
      </c>
      <c r="AB4" s="11">
        <f t="shared" si="0"/>
        <v>11.5641779778</v>
      </c>
    </row>
    <row r="5" spans="1:28" ht="16.350000000000001" customHeight="1">
      <c r="B5" s="31"/>
      <c r="C5" s="28"/>
      <c r="D5" s="28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</row>
    <row r="6" spans="1:28" s="17" customFormat="1" ht="15.75" customHeight="1" thickBot="1">
      <c r="A6" s="3" t="s">
        <v>109</v>
      </c>
      <c r="B6" s="4"/>
      <c r="C6" s="5" t="s">
        <v>27</v>
      </c>
      <c r="D6" s="5" t="s">
        <v>28</v>
      </c>
      <c r="E6" s="6">
        <v>44927</v>
      </c>
      <c r="F6" s="6">
        <v>44958</v>
      </c>
      <c r="G6" s="6">
        <v>44986</v>
      </c>
      <c r="H6" s="6">
        <v>45017</v>
      </c>
      <c r="I6" s="6">
        <v>45047</v>
      </c>
      <c r="J6" s="6">
        <v>45078</v>
      </c>
      <c r="K6" s="6">
        <v>45108</v>
      </c>
      <c r="L6" s="6">
        <v>45139</v>
      </c>
      <c r="M6" s="6">
        <v>45170</v>
      </c>
      <c r="N6" s="6">
        <v>45200</v>
      </c>
      <c r="O6" s="6">
        <v>45231</v>
      </c>
      <c r="P6" s="6">
        <v>45261</v>
      </c>
      <c r="Q6" s="6">
        <v>45292</v>
      </c>
      <c r="R6" s="6">
        <v>45323</v>
      </c>
      <c r="S6" s="6">
        <v>45352</v>
      </c>
      <c r="T6" s="6">
        <v>45383</v>
      </c>
      <c r="U6" s="6">
        <v>45413</v>
      </c>
      <c r="V6" s="6">
        <v>45444</v>
      </c>
      <c r="W6" s="6">
        <v>45474</v>
      </c>
      <c r="X6" s="6">
        <v>45505</v>
      </c>
      <c r="Y6" s="6">
        <v>45536</v>
      </c>
      <c r="Z6" s="6">
        <v>45566</v>
      </c>
      <c r="AA6" s="6">
        <v>45597</v>
      </c>
      <c r="AB6" s="6">
        <v>45627</v>
      </c>
    </row>
    <row r="7" spans="1:28" ht="16.350000000000001" customHeight="1">
      <c r="B7" s="29" t="s">
        <v>71</v>
      </c>
      <c r="C7" s="28" t="s">
        <v>81</v>
      </c>
      <c r="D7" s="50" t="s">
        <v>147</v>
      </c>
      <c r="E7" s="9">
        <f>70955258.26585/1000000</f>
        <v>70.955258265849992</v>
      </c>
      <c r="F7" s="9">
        <f>49183605.01275/1000000</f>
        <v>49.18360501275</v>
      </c>
      <c r="G7" s="9">
        <f>43426572.1682/1000000</f>
        <v>43.426572168200003</v>
      </c>
      <c r="H7" s="9">
        <f>43399031.6048/1000000</f>
        <v>43.399031604800001</v>
      </c>
      <c r="I7" s="9">
        <f>46319762.27365/1000000</f>
        <v>46.319762273649999</v>
      </c>
      <c r="J7" s="9">
        <f>49882677.6077/1000000</f>
        <v>49.882677607699996</v>
      </c>
      <c r="K7" s="9">
        <f>53754422.01245/1000000</f>
        <v>53.75442201245</v>
      </c>
      <c r="L7" s="9">
        <f>50817467.369/1000000</f>
        <v>50.817467369000006</v>
      </c>
      <c r="M7" s="9">
        <f>42836473.9999/1000000</f>
        <v>42.836473999900001</v>
      </c>
      <c r="N7" s="9">
        <f>37921213.5979/1000000</f>
        <v>37.921213597900007</v>
      </c>
      <c r="O7" s="9">
        <f>45320879.08165/1000000</f>
        <v>45.320879081649998</v>
      </c>
      <c r="P7" s="9">
        <f>60152313.62625/1000000</f>
        <v>60.152313626249999</v>
      </c>
      <c r="Q7" s="9">
        <f>67744213.52769/1000000</f>
        <v>67.744213527689993</v>
      </c>
      <c r="R7" s="9">
        <f>64491463.220898/1000000</f>
        <v>64.491463220897998</v>
      </c>
      <c r="S7" s="9">
        <f>49651774.63806/1000000</f>
        <v>49.651774638060004</v>
      </c>
      <c r="T7" s="9">
        <f>45486152.782686/1000000</f>
        <v>45.486152782686005</v>
      </c>
      <c r="U7" s="9">
        <f>52831327.335108/1000000</f>
        <v>52.831327335108</v>
      </c>
      <c r="V7" s="9">
        <f>57806182.359576/1000000</f>
        <v>57.806182359575999</v>
      </c>
      <c r="W7" s="9">
        <f>65767698.298344/1000000</f>
        <v>65.767698298344001</v>
      </c>
      <c r="X7" s="9">
        <f>64936003.91103/1000000</f>
        <v>64.936003911029999</v>
      </c>
      <c r="Y7" s="9">
        <f>50898140.012118/1000000</f>
        <v>50.898140012117999</v>
      </c>
      <c r="Z7" s="9">
        <f>47610546.78135/1000000</f>
        <v>47.610546781350003</v>
      </c>
      <c r="AA7" s="9">
        <f>58526658.89238/1000000</f>
        <v>58.526658892379999</v>
      </c>
      <c r="AB7" s="9">
        <f>75726638.348844/1000000</f>
        <v>75.726638348844006</v>
      </c>
    </row>
    <row r="8" spans="1:28" ht="16.350000000000001" customHeight="1">
      <c r="B8" s="29" t="s">
        <v>116</v>
      </c>
      <c r="C8" s="28" t="s">
        <v>81</v>
      </c>
      <c r="D8" s="50" t="s">
        <v>147</v>
      </c>
      <c r="E8" s="9">
        <f>4800814.1408/1000000</f>
        <v>4.8008141408</v>
      </c>
      <c r="F8" s="9">
        <f>3322193.83345/1000000</f>
        <v>3.3221938334499996</v>
      </c>
      <c r="G8" s="9">
        <f>2308971.909/1000000</f>
        <v>2.3089719089999998</v>
      </c>
      <c r="H8" s="9">
        <f>1275576.2694/1000000</f>
        <v>1.2755762694000001</v>
      </c>
      <c r="I8" s="9">
        <f>15733929.033/1000000</f>
        <v>15.733929032999999</v>
      </c>
      <c r="J8" s="9">
        <f>18592958.8335/1000000</f>
        <v>18.592958833500003</v>
      </c>
      <c r="K8" s="9">
        <f>20500100.5945/1000000</f>
        <v>20.500100594500001</v>
      </c>
      <c r="L8" s="9">
        <f>24762584.87155/1000000</f>
        <v>24.762584871550001</v>
      </c>
      <c r="M8" s="9">
        <f>20520384.2646/1000000</f>
        <v>20.520384264600001</v>
      </c>
      <c r="N8" s="9">
        <f>1705453.3005/1000000</f>
        <v>1.7054533004999999</v>
      </c>
      <c r="O8" s="9">
        <f>2559515.9851/1000000</f>
        <v>2.5595159851</v>
      </c>
      <c r="P8" s="9">
        <f>3503235.409/1000000</f>
        <v>3.5032354090000002</v>
      </c>
      <c r="Q8" s="9">
        <f>3428501.84754/1000000</f>
        <v>3.4285018475400002</v>
      </c>
      <c r="R8" s="9">
        <f>3791901.23214/1000000</f>
        <v>3.7919012321399999</v>
      </c>
      <c r="S8" s="9">
        <f>2808508.53948/1000000</f>
        <v>2.80850853948</v>
      </c>
      <c r="T8" s="9">
        <f>2175590.66382/1000000</f>
        <v>2.17559066382</v>
      </c>
      <c r="U8" s="9">
        <f>9131638.70346/1000000</f>
        <v>9.1316387034600002</v>
      </c>
      <c r="V8" s="9">
        <f>19167414.67074/1000000</f>
        <v>19.167414670740001</v>
      </c>
      <c r="W8" s="9">
        <f>29578115.99148/1000000</f>
        <v>29.578115991480001</v>
      </c>
      <c r="X8" s="9">
        <f>33251330.23674/1000000</f>
        <v>33.251330236740003</v>
      </c>
      <c r="Y8" s="9">
        <f>17864377.355622/1000000</f>
        <v>17.864377355622</v>
      </c>
      <c r="Z8" s="9">
        <f>6348429.198678/1000000</f>
        <v>6.3484291986779997</v>
      </c>
      <c r="AA8" s="9">
        <f>6808246.382658/1000000</f>
        <v>6.808246382658</v>
      </c>
      <c r="AB8" s="9">
        <f>10761919.50666/1000000</f>
        <v>10.76191950666</v>
      </c>
    </row>
    <row r="9" spans="1:28" ht="16.350000000000001" customHeight="1">
      <c r="B9" s="29" t="s">
        <v>1</v>
      </c>
      <c r="C9" s="28" t="s">
        <v>81</v>
      </c>
      <c r="D9" s="28"/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</row>
    <row r="10" spans="1:28" ht="16.350000000000001" customHeight="1">
      <c r="B10" s="56" t="s">
        <v>0</v>
      </c>
      <c r="C10" s="57" t="s">
        <v>81</v>
      </c>
      <c r="D10" s="58" t="s">
        <v>147</v>
      </c>
      <c r="E10" s="59">
        <f>E7+E8</f>
        <v>75.756072406649992</v>
      </c>
      <c r="F10" s="59">
        <f t="shared" ref="F10:AB10" si="1">F7+F8</f>
        <v>52.505798846200001</v>
      </c>
      <c r="G10" s="59">
        <f t="shared" si="1"/>
        <v>45.735544077200004</v>
      </c>
      <c r="H10" s="59">
        <f t="shared" si="1"/>
        <v>44.674607874199999</v>
      </c>
      <c r="I10" s="59">
        <f t="shared" si="1"/>
        <v>62.053691306649995</v>
      </c>
      <c r="J10" s="59">
        <f t="shared" si="1"/>
        <v>68.475636441199995</v>
      </c>
      <c r="K10" s="59">
        <f t="shared" si="1"/>
        <v>74.254522606950005</v>
      </c>
      <c r="L10" s="59">
        <f t="shared" si="1"/>
        <v>75.580052240550003</v>
      </c>
      <c r="M10" s="59">
        <f t="shared" si="1"/>
        <v>63.356858264500005</v>
      </c>
      <c r="N10" s="59">
        <f t="shared" si="1"/>
        <v>39.626666898400003</v>
      </c>
      <c r="O10" s="59">
        <f t="shared" si="1"/>
        <v>47.880395066749998</v>
      </c>
      <c r="P10" s="59">
        <f t="shared" si="1"/>
        <v>63.655549035249997</v>
      </c>
      <c r="Q10" s="59">
        <f t="shared" si="1"/>
        <v>71.172715375229998</v>
      </c>
      <c r="R10" s="59">
        <f t="shared" si="1"/>
        <v>68.283364453038004</v>
      </c>
      <c r="S10" s="59">
        <f t="shared" si="1"/>
        <v>52.460283177540006</v>
      </c>
      <c r="T10" s="59">
        <f t="shared" si="1"/>
        <v>47.661743446506009</v>
      </c>
      <c r="U10" s="59">
        <f t="shared" si="1"/>
        <v>61.962966038567998</v>
      </c>
      <c r="V10" s="59">
        <f t="shared" si="1"/>
        <v>76.973597030316</v>
      </c>
      <c r="W10" s="59">
        <f t="shared" si="1"/>
        <v>95.345814289824006</v>
      </c>
      <c r="X10" s="59">
        <f t="shared" si="1"/>
        <v>98.187334147770002</v>
      </c>
      <c r="Y10" s="59">
        <f t="shared" si="1"/>
        <v>68.762517367740003</v>
      </c>
      <c r="Z10" s="59">
        <f t="shared" si="1"/>
        <v>53.958975980028001</v>
      </c>
      <c r="AA10" s="59">
        <f t="shared" si="1"/>
        <v>65.334905275037997</v>
      </c>
      <c r="AB10" s="59">
        <f t="shared" si="1"/>
        <v>86.488557855504013</v>
      </c>
    </row>
    <row r="11" spans="1:28" ht="16.350000000000001" customHeight="1">
      <c r="B11" s="31"/>
      <c r="C11" s="28"/>
      <c r="D11" s="28"/>
      <c r="E11" s="31"/>
      <c r="F11" s="31"/>
    </row>
    <row r="12" spans="1:28" s="17" customFormat="1" ht="16.149999999999999" customHeight="1" thickBot="1">
      <c r="A12" s="3" t="s">
        <v>114</v>
      </c>
      <c r="B12" s="25"/>
      <c r="C12" s="5" t="s">
        <v>27</v>
      </c>
      <c r="D12" s="5" t="s">
        <v>28</v>
      </c>
      <c r="E12" s="6">
        <v>44927</v>
      </c>
      <c r="F12" s="6">
        <v>44958</v>
      </c>
      <c r="G12" s="6">
        <v>44986</v>
      </c>
      <c r="H12" s="6">
        <v>45017</v>
      </c>
      <c r="I12" s="6">
        <v>45047</v>
      </c>
      <c r="J12" s="6">
        <v>45078</v>
      </c>
      <c r="K12" s="6">
        <v>45108</v>
      </c>
      <c r="L12" s="6">
        <v>45139</v>
      </c>
      <c r="M12" s="6">
        <v>45170</v>
      </c>
      <c r="N12" s="6">
        <v>45200</v>
      </c>
      <c r="O12" s="6">
        <v>45231</v>
      </c>
      <c r="P12" s="6">
        <v>45261</v>
      </c>
      <c r="Q12" s="6">
        <v>45292</v>
      </c>
      <c r="R12" s="6">
        <v>45323</v>
      </c>
      <c r="S12" s="6">
        <v>45352</v>
      </c>
      <c r="T12" s="6">
        <v>45383</v>
      </c>
      <c r="U12" s="6">
        <v>45413</v>
      </c>
      <c r="V12" s="6">
        <v>45444</v>
      </c>
      <c r="W12" s="6">
        <v>45474</v>
      </c>
      <c r="X12" s="6">
        <v>45505</v>
      </c>
      <c r="Y12" s="6">
        <v>45536</v>
      </c>
      <c r="Z12" s="6">
        <v>45566</v>
      </c>
      <c r="AA12" s="6">
        <v>45597</v>
      </c>
      <c r="AB12" s="6">
        <v>45627</v>
      </c>
    </row>
    <row r="13" spans="1:28" ht="16.350000000000001" customHeight="1">
      <c r="B13" s="29" t="s">
        <v>82</v>
      </c>
      <c r="C13" s="28" t="s">
        <v>72</v>
      </c>
      <c r="D13" s="28"/>
      <c r="E13" s="9">
        <v>13.24</v>
      </c>
      <c r="F13" s="9">
        <v>13.24</v>
      </c>
      <c r="G13" s="9">
        <v>13.24</v>
      </c>
      <c r="H13" s="9">
        <v>13.24</v>
      </c>
      <c r="I13" s="9">
        <v>13.24</v>
      </c>
      <c r="J13" s="9">
        <v>13.24</v>
      </c>
      <c r="K13" s="9">
        <v>13.24</v>
      </c>
      <c r="L13" s="9">
        <v>13.24</v>
      </c>
      <c r="M13" s="9">
        <v>13.24</v>
      </c>
      <c r="N13" s="9">
        <v>13.24</v>
      </c>
      <c r="O13" s="9">
        <v>13.24</v>
      </c>
      <c r="P13" s="9">
        <v>13.24</v>
      </c>
      <c r="Q13" s="9">
        <v>13.72</v>
      </c>
      <c r="R13" s="9">
        <v>13.72</v>
      </c>
      <c r="S13" s="9">
        <v>13.72</v>
      </c>
      <c r="T13" s="9">
        <v>13.72</v>
      </c>
      <c r="U13" s="9">
        <v>13.72</v>
      </c>
      <c r="V13" s="9">
        <v>13.72</v>
      </c>
      <c r="W13" s="9">
        <v>13.72</v>
      </c>
      <c r="X13" s="9">
        <v>13.72</v>
      </c>
      <c r="Y13" s="9">
        <v>13.72</v>
      </c>
      <c r="Z13" s="9">
        <v>13.72</v>
      </c>
      <c r="AA13" s="9">
        <v>13.72</v>
      </c>
      <c r="AB13" s="9">
        <v>13.72</v>
      </c>
    </row>
    <row r="14" spans="1:28" ht="16.350000000000001" customHeight="1">
      <c r="B14" s="29" t="s">
        <v>1</v>
      </c>
      <c r="C14" s="28" t="s">
        <v>72</v>
      </c>
      <c r="D14" s="28"/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</row>
    <row r="15" spans="1:28" ht="16.350000000000001" customHeight="1">
      <c r="B15" s="30" t="s">
        <v>0</v>
      </c>
      <c r="C15" s="28" t="s">
        <v>72</v>
      </c>
      <c r="D15" s="28"/>
      <c r="E15" s="9">
        <v>13.24</v>
      </c>
      <c r="F15" s="9">
        <v>13.24</v>
      </c>
      <c r="G15" s="9">
        <v>13.24</v>
      </c>
      <c r="H15" s="9">
        <v>13.24</v>
      </c>
      <c r="I15" s="9">
        <v>13.24</v>
      </c>
      <c r="J15" s="9">
        <v>13.24</v>
      </c>
      <c r="K15" s="9">
        <v>13.24</v>
      </c>
      <c r="L15" s="9">
        <v>13.24</v>
      </c>
      <c r="M15" s="9">
        <v>13.24</v>
      </c>
      <c r="N15" s="9">
        <v>13.24</v>
      </c>
      <c r="O15" s="9">
        <v>13.24</v>
      </c>
      <c r="P15" s="9">
        <v>13.24</v>
      </c>
      <c r="Q15" s="9">
        <v>13.72</v>
      </c>
      <c r="R15" s="9">
        <v>13.72</v>
      </c>
      <c r="S15" s="9">
        <v>13.72</v>
      </c>
      <c r="T15" s="9">
        <v>13.72</v>
      </c>
      <c r="U15" s="9">
        <v>13.72</v>
      </c>
      <c r="V15" s="9">
        <v>13.72</v>
      </c>
      <c r="W15" s="9">
        <v>13.72</v>
      </c>
      <c r="X15" s="9">
        <v>13.72</v>
      </c>
      <c r="Y15" s="9">
        <v>13.72</v>
      </c>
      <c r="Z15" s="9">
        <v>13.72</v>
      </c>
      <c r="AA15" s="9">
        <v>13.72</v>
      </c>
      <c r="AB15" s="9">
        <v>13.72</v>
      </c>
    </row>
    <row r="16" spans="1:28" ht="16.350000000000001" customHeight="1">
      <c r="B16" s="31"/>
      <c r="C16" s="28"/>
      <c r="D16" s="28"/>
      <c r="E16" s="31"/>
      <c r="F16" s="31"/>
    </row>
    <row r="17" spans="1:28" s="17" customFormat="1" ht="16.149999999999999" customHeight="1" thickBot="1">
      <c r="A17" s="3" t="s">
        <v>115</v>
      </c>
      <c r="B17" s="25"/>
      <c r="C17" s="5" t="s">
        <v>27</v>
      </c>
      <c r="D17" s="5" t="s">
        <v>28</v>
      </c>
      <c r="E17" s="6">
        <v>44927</v>
      </c>
      <c r="F17" s="6">
        <v>44958</v>
      </c>
      <c r="G17" s="6">
        <v>44986</v>
      </c>
      <c r="H17" s="6">
        <v>45017</v>
      </c>
      <c r="I17" s="6">
        <v>45047</v>
      </c>
      <c r="J17" s="6">
        <v>45078</v>
      </c>
      <c r="K17" s="6">
        <v>45108</v>
      </c>
      <c r="L17" s="6">
        <v>45139</v>
      </c>
      <c r="M17" s="6">
        <v>45170</v>
      </c>
      <c r="N17" s="6">
        <v>45200</v>
      </c>
      <c r="O17" s="6">
        <v>45231</v>
      </c>
      <c r="P17" s="6">
        <v>45261</v>
      </c>
      <c r="Q17" s="6">
        <v>45292</v>
      </c>
      <c r="R17" s="6">
        <v>45323</v>
      </c>
      <c r="S17" s="6">
        <v>45352</v>
      </c>
      <c r="T17" s="6">
        <v>45383</v>
      </c>
      <c r="U17" s="6">
        <v>45413</v>
      </c>
      <c r="V17" s="6">
        <v>45444</v>
      </c>
      <c r="W17" s="6">
        <v>45474</v>
      </c>
      <c r="X17" s="6">
        <v>45505</v>
      </c>
      <c r="Y17" s="6">
        <v>45536</v>
      </c>
      <c r="Z17" s="6">
        <v>45566</v>
      </c>
      <c r="AA17" s="6">
        <v>45597</v>
      </c>
      <c r="AB17" s="6">
        <v>45627</v>
      </c>
    </row>
    <row r="18" spans="1:28" ht="16.350000000000001" customHeight="1">
      <c r="B18" s="29" t="s">
        <v>71</v>
      </c>
      <c r="C18" s="28" t="s">
        <v>72</v>
      </c>
      <c r="D18" s="28"/>
      <c r="E18" s="9">
        <v>2.9</v>
      </c>
      <c r="F18" s="9">
        <v>2.9</v>
      </c>
      <c r="G18" s="9">
        <v>2.9</v>
      </c>
      <c r="H18" s="9">
        <v>2.9</v>
      </c>
      <c r="I18" s="9">
        <v>2.9</v>
      </c>
      <c r="J18" s="9">
        <v>2.9</v>
      </c>
      <c r="K18" s="9">
        <v>2.9</v>
      </c>
      <c r="L18" s="9">
        <v>2.9</v>
      </c>
      <c r="M18" s="9">
        <v>2.9</v>
      </c>
      <c r="N18" s="9">
        <v>2.9</v>
      </c>
      <c r="O18" s="9">
        <v>2.9</v>
      </c>
      <c r="P18" s="9">
        <v>2.9</v>
      </c>
      <c r="Q18" s="9">
        <v>3.29</v>
      </c>
      <c r="R18" s="9">
        <v>3.29</v>
      </c>
      <c r="S18" s="9">
        <v>3.29</v>
      </c>
      <c r="T18" s="9">
        <v>3.29</v>
      </c>
      <c r="U18" s="9">
        <v>3.29</v>
      </c>
      <c r="V18" s="9">
        <v>3.29</v>
      </c>
      <c r="W18" s="9">
        <v>3.29</v>
      </c>
      <c r="X18" s="9">
        <v>3.29</v>
      </c>
      <c r="Y18" s="9">
        <v>3.29</v>
      </c>
      <c r="Z18" s="9">
        <v>3.29</v>
      </c>
      <c r="AA18" s="9">
        <v>3.29</v>
      </c>
      <c r="AB18" s="9">
        <v>3.29</v>
      </c>
    </row>
    <row r="19" spans="1:28" ht="16.350000000000001" customHeight="1">
      <c r="B19" s="29" t="s">
        <v>116</v>
      </c>
      <c r="C19" s="28" t="s">
        <v>72</v>
      </c>
      <c r="D19" s="28"/>
      <c r="E19" s="9">
        <v>2.9</v>
      </c>
      <c r="F19" s="9">
        <v>2.9</v>
      </c>
      <c r="G19" s="9">
        <v>2.9</v>
      </c>
      <c r="H19" s="9">
        <v>2.9</v>
      </c>
      <c r="I19" s="9">
        <v>2.9</v>
      </c>
      <c r="J19" s="9">
        <v>2.9</v>
      </c>
      <c r="K19" s="9">
        <v>2.9</v>
      </c>
      <c r="L19" s="9">
        <v>2.9</v>
      </c>
      <c r="M19" s="9">
        <v>2.9</v>
      </c>
      <c r="N19" s="9">
        <v>2.9</v>
      </c>
      <c r="O19" s="9">
        <v>2.9</v>
      </c>
      <c r="P19" s="9">
        <v>2.9</v>
      </c>
      <c r="Q19" s="9">
        <v>3.29</v>
      </c>
      <c r="R19" s="9">
        <v>3.29</v>
      </c>
      <c r="S19" s="9">
        <v>3.29</v>
      </c>
      <c r="T19" s="9">
        <v>3.29</v>
      </c>
      <c r="U19" s="9">
        <v>3.29</v>
      </c>
      <c r="V19" s="9">
        <v>3.29</v>
      </c>
      <c r="W19" s="9">
        <v>3.29</v>
      </c>
      <c r="X19" s="9">
        <v>3.29</v>
      </c>
      <c r="Y19" s="9">
        <v>3.29</v>
      </c>
      <c r="Z19" s="9">
        <v>3.29</v>
      </c>
      <c r="AA19" s="9">
        <v>3.29</v>
      </c>
      <c r="AB19" s="9">
        <v>3.29</v>
      </c>
    </row>
    <row r="20" spans="1:28" ht="16.350000000000001" customHeight="1">
      <c r="B20" s="29" t="s">
        <v>1</v>
      </c>
      <c r="C20" s="28" t="s">
        <v>72</v>
      </c>
      <c r="D20" s="28"/>
      <c r="E20" s="9">
        <v>0</v>
      </c>
      <c r="F20" s="9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</row>
    <row r="21" spans="1:28" ht="16.350000000000001" customHeight="1">
      <c r="B21" s="30" t="s">
        <v>0</v>
      </c>
      <c r="C21" s="28" t="s">
        <v>72</v>
      </c>
      <c r="D21" s="28"/>
      <c r="E21" s="9">
        <v>2.9</v>
      </c>
      <c r="F21" s="9">
        <v>2.9</v>
      </c>
      <c r="G21" s="9">
        <v>2.9</v>
      </c>
      <c r="H21" s="9">
        <v>2.9</v>
      </c>
      <c r="I21" s="9">
        <v>2.9</v>
      </c>
      <c r="J21" s="9">
        <v>2.9</v>
      </c>
      <c r="K21" s="9">
        <v>2.9</v>
      </c>
      <c r="L21" s="9">
        <v>2.9</v>
      </c>
      <c r="M21" s="9">
        <v>2.9</v>
      </c>
      <c r="N21" s="9">
        <v>2.9</v>
      </c>
      <c r="O21" s="9">
        <v>2.9</v>
      </c>
      <c r="P21" s="9">
        <v>2.9</v>
      </c>
      <c r="Q21" s="9">
        <v>3.29</v>
      </c>
      <c r="R21" s="9">
        <v>3.29</v>
      </c>
      <c r="S21" s="9">
        <v>3.29</v>
      </c>
      <c r="T21" s="9">
        <v>3.29</v>
      </c>
      <c r="U21" s="9">
        <v>3.29</v>
      </c>
      <c r="V21" s="9">
        <v>3.29</v>
      </c>
      <c r="W21" s="9">
        <v>3.29</v>
      </c>
      <c r="X21" s="9">
        <v>3.29</v>
      </c>
      <c r="Y21" s="9">
        <v>3.29</v>
      </c>
      <c r="Z21" s="9">
        <v>3.29</v>
      </c>
      <c r="AA21" s="9">
        <v>3.29</v>
      </c>
      <c r="AB21" s="9">
        <v>3.29</v>
      </c>
    </row>
    <row r="22" spans="1:28" ht="16.350000000000001" customHeight="1">
      <c r="B22" s="31"/>
      <c r="C22" s="28"/>
      <c r="D22" s="28"/>
      <c r="E22" s="31"/>
      <c r="F22" s="31"/>
    </row>
    <row r="23" spans="1:28" s="17" customFormat="1" ht="15.75" customHeight="1" thickBot="1">
      <c r="A23" s="3" t="s">
        <v>112</v>
      </c>
      <c r="B23" s="4"/>
      <c r="C23" s="5" t="s">
        <v>27</v>
      </c>
      <c r="D23" s="5" t="s">
        <v>28</v>
      </c>
      <c r="E23" s="6">
        <v>44927</v>
      </c>
      <c r="F23" s="6">
        <v>44958</v>
      </c>
      <c r="G23" s="6">
        <v>44986</v>
      </c>
      <c r="H23" s="6">
        <v>45017</v>
      </c>
      <c r="I23" s="6">
        <v>45047</v>
      </c>
      <c r="J23" s="6">
        <v>45078</v>
      </c>
      <c r="K23" s="6">
        <v>45108</v>
      </c>
      <c r="L23" s="6">
        <v>45139</v>
      </c>
      <c r="M23" s="6">
        <v>45170</v>
      </c>
      <c r="N23" s="6">
        <v>45200</v>
      </c>
      <c r="O23" s="6">
        <v>45231</v>
      </c>
      <c r="P23" s="6">
        <v>45261</v>
      </c>
      <c r="Q23" s="6">
        <v>45292</v>
      </c>
      <c r="R23" s="6">
        <v>45323</v>
      </c>
      <c r="S23" s="6">
        <v>45352</v>
      </c>
      <c r="T23" s="6">
        <v>45383</v>
      </c>
      <c r="U23" s="6">
        <v>45413</v>
      </c>
      <c r="V23" s="6">
        <v>45444</v>
      </c>
      <c r="W23" s="6">
        <v>45474</v>
      </c>
      <c r="X23" s="6">
        <v>45505</v>
      </c>
      <c r="Y23" s="6">
        <v>45536</v>
      </c>
      <c r="Z23" s="6">
        <v>45566</v>
      </c>
      <c r="AA23" s="6">
        <v>45597</v>
      </c>
      <c r="AB23" s="6">
        <v>45627</v>
      </c>
    </row>
    <row r="24" spans="1:28" ht="16.350000000000001" customHeight="1">
      <c r="B24" s="29" t="s">
        <v>71</v>
      </c>
      <c r="C24" s="28" t="s">
        <v>81</v>
      </c>
      <c r="D24" s="28"/>
      <c r="E24" s="9">
        <f>26243157.45/1000000</f>
        <v>26.243157449999998</v>
      </c>
      <c r="F24" s="9">
        <f>20226909.48/1000000</f>
        <v>20.22690948</v>
      </c>
      <c r="G24" s="9">
        <f>21991857.93/1000000</f>
        <v>21.991857929999998</v>
      </c>
      <c r="H24" s="9">
        <f>20665203.67/1000000</f>
        <v>20.66520367</v>
      </c>
      <c r="I24" s="9">
        <f>20958962.53/1000000</f>
        <v>20.958962530000001</v>
      </c>
      <c r="J24" s="9">
        <f>21827303.96/1000000</f>
        <v>21.827303960000002</v>
      </c>
      <c r="K24" s="9">
        <f>21986154.83/1000000</f>
        <v>21.986154829999997</v>
      </c>
      <c r="L24" s="9">
        <f>26138125.86/1000000</f>
        <v>26.138125859999999</v>
      </c>
      <c r="M24" s="9">
        <f>27526505.33/1000000</f>
        <v>27.526505329999999</v>
      </c>
      <c r="N24" s="9">
        <f>25047787.92/1000000</f>
        <v>25.047787920000001</v>
      </c>
      <c r="O24" s="9">
        <f>26598208.28/1000000</f>
        <v>26.598208280000001</v>
      </c>
      <c r="P24" s="9">
        <f>46173873.39/1000000</f>
        <v>46.173873389999997</v>
      </c>
      <c r="Q24" s="9">
        <f>31787187.62/1000000</f>
        <v>31.787187620000001</v>
      </c>
      <c r="R24" s="9">
        <f>33208760.88/1000000</f>
        <v>33.20876088</v>
      </c>
      <c r="S24" s="9">
        <f>29002629.05/1000000</f>
        <v>29.002629049999999</v>
      </c>
      <c r="T24" s="9">
        <f>25085798.04/1000000</f>
        <v>25.08579804</v>
      </c>
      <c r="U24" s="9">
        <f>28420378.99/1000000</f>
        <v>28.42037899</v>
      </c>
      <c r="V24" s="9">
        <f>27026797.03/1000000</f>
        <v>27.026797030000001</v>
      </c>
      <c r="W24" s="9">
        <f>29033369.05/1000000</f>
        <v>29.033369050000001</v>
      </c>
      <c r="X24" s="9">
        <f>34228036.94/1000000</f>
        <v>34.228036939999996</v>
      </c>
      <c r="Y24" s="9">
        <f>38727811.81/1000000</f>
        <v>38.727811810000006</v>
      </c>
      <c r="Z24" s="9">
        <f>39575827.61/1000000</f>
        <v>39.575827609999997</v>
      </c>
      <c r="AA24" s="9">
        <f>31177254.69/1000000</f>
        <v>31.177254690000002</v>
      </c>
      <c r="AB24" s="9">
        <f>39397521.36/1000000</f>
        <v>39.397521359999999</v>
      </c>
    </row>
    <row r="25" spans="1:28" ht="16.350000000000001" customHeight="1">
      <c r="B25" s="29" t="s">
        <v>116</v>
      </c>
      <c r="C25" s="28" t="s">
        <v>81</v>
      </c>
      <c r="D25" s="28"/>
      <c r="E25" s="9">
        <v>0</v>
      </c>
      <c r="F25" s="9">
        <v>0</v>
      </c>
      <c r="G25" s="9">
        <f>47320/1000000</f>
        <v>4.7320000000000001E-2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</row>
    <row r="26" spans="1:28" ht="16.350000000000001" customHeight="1">
      <c r="B26" s="29" t="s">
        <v>1</v>
      </c>
      <c r="C26" s="28" t="s">
        <v>81</v>
      </c>
      <c r="D26" s="28"/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</row>
    <row r="27" spans="1:28" ht="16.350000000000001" customHeight="1">
      <c r="B27" s="30" t="s">
        <v>0</v>
      </c>
      <c r="C27" s="28" t="s">
        <v>81</v>
      </c>
      <c r="D27" s="28"/>
      <c r="E27" s="9">
        <f>E24+E25+E26</f>
        <v>26.243157449999998</v>
      </c>
      <c r="F27" s="9">
        <f t="shared" ref="F27:AB27" si="2">F24+F25+F26</f>
        <v>20.22690948</v>
      </c>
      <c r="G27" s="9">
        <f t="shared" si="2"/>
        <v>22.039177929999997</v>
      </c>
      <c r="H27" s="9">
        <f t="shared" si="2"/>
        <v>20.66520367</v>
      </c>
      <c r="I27" s="9">
        <f t="shared" si="2"/>
        <v>20.958962530000001</v>
      </c>
      <c r="J27" s="9">
        <f t="shared" si="2"/>
        <v>21.827303960000002</v>
      </c>
      <c r="K27" s="9">
        <f t="shared" si="2"/>
        <v>21.986154829999997</v>
      </c>
      <c r="L27" s="9">
        <f t="shared" si="2"/>
        <v>26.138125859999999</v>
      </c>
      <c r="M27" s="9">
        <f t="shared" si="2"/>
        <v>27.526505329999999</v>
      </c>
      <c r="N27" s="9">
        <f t="shared" si="2"/>
        <v>25.047787920000001</v>
      </c>
      <c r="O27" s="9">
        <f t="shared" si="2"/>
        <v>26.598208280000001</v>
      </c>
      <c r="P27" s="9">
        <f t="shared" si="2"/>
        <v>46.173873389999997</v>
      </c>
      <c r="Q27" s="9">
        <f t="shared" si="2"/>
        <v>31.787187620000001</v>
      </c>
      <c r="R27" s="9">
        <f t="shared" si="2"/>
        <v>33.20876088</v>
      </c>
      <c r="S27" s="9">
        <f t="shared" si="2"/>
        <v>29.002629049999999</v>
      </c>
      <c r="T27" s="9">
        <f t="shared" si="2"/>
        <v>25.08579804</v>
      </c>
      <c r="U27" s="9">
        <f t="shared" si="2"/>
        <v>28.42037899</v>
      </c>
      <c r="V27" s="9">
        <f t="shared" si="2"/>
        <v>27.026797030000001</v>
      </c>
      <c r="W27" s="9">
        <f t="shared" si="2"/>
        <v>29.033369050000001</v>
      </c>
      <c r="X27" s="9">
        <f t="shared" si="2"/>
        <v>34.228036939999996</v>
      </c>
      <c r="Y27" s="9">
        <f t="shared" si="2"/>
        <v>38.727811810000006</v>
      </c>
      <c r="Z27" s="9">
        <f t="shared" si="2"/>
        <v>39.575827609999997</v>
      </c>
      <c r="AA27" s="9">
        <f t="shared" si="2"/>
        <v>31.177254690000002</v>
      </c>
      <c r="AB27" s="9">
        <f t="shared" si="2"/>
        <v>39.397521359999999</v>
      </c>
    </row>
    <row r="28" spans="1:28" ht="16.350000000000001" customHeight="1">
      <c r="B28" s="14"/>
      <c r="C28" s="28"/>
      <c r="D28" s="28"/>
    </row>
    <row r="29" spans="1:28" s="17" customFormat="1" ht="15.75" customHeight="1" thickBot="1">
      <c r="A29" s="3" t="s">
        <v>113</v>
      </c>
      <c r="B29" s="4"/>
      <c r="C29" s="5" t="s">
        <v>27</v>
      </c>
      <c r="D29" s="5" t="s">
        <v>28</v>
      </c>
      <c r="E29" s="6">
        <v>44927</v>
      </c>
      <c r="F29" s="6">
        <v>44958</v>
      </c>
      <c r="G29" s="6">
        <v>44986</v>
      </c>
      <c r="H29" s="6">
        <v>45017</v>
      </c>
      <c r="I29" s="6">
        <v>45047</v>
      </c>
      <c r="J29" s="6">
        <v>45078</v>
      </c>
      <c r="K29" s="6">
        <v>45108</v>
      </c>
      <c r="L29" s="6">
        <v>45139</v>
      </c>
      <c r="M29" s="6">
        <v>45170</v>
      </c>
      <c r="N29" s="6">
        <v>45200</v>
      </c>
      <c r="O29" s="6">
        <v>45231</v>
      </c>
      <c r="P29" s="6">
        <v>45261</v>
      </c>
      <c r="Q29" s="6">
        <v>45292</v>
      </c>
      <c r="R29" s="6">
        <v>45323</v>
      </c>
      <c r="S29" s="6">
        <v>45352</v>
      </c>
      <c r="T29" s="6">
        <v>45383</v>
      </c>
      <c r="U29" s="6">
        <v>45413</v>
      </c>
      <c r="V29" s="6">
        <v>45444</v>
      </c>
      <c r="W29" s="6">
        <v>45474</v>
      </c>
      <c r="X29" s="6">
        <v>45505</v>
      </c>
      <c r="Y29" s="6">
        <v>45536</v>
      </c>
      <c r="Z29" s="6">
        <v>45566</v>
      </c>
      <c r="AA29" s="6">
        <v>45597</v>
      </c>
      <c r="AB29" s="6">
        <v>45627</v>
      </c>
    </row>
    <row r="30" spans="1:28" ht="16.350000000000001" customHeight="1">
      <c r="B30" s="29" t="s">
        <v>71</v>
      </c>
      <c r="C30" s="15" t="s">
        <v>83</v>
      </c>
      <c r="D30" s="15"/>
      <c r="E30" s="32">
        <f>E24/E7</f>
        <v>0.36985500569491336</v>
      </c>
      <c r="F30" s="32">
        <f t="shared" ref="F30:AB30" si="3">F24/F7</f>
        <v>0.41125308880381017</v>
      </c>
      <c r="G30" s="32">
        <f t="shared" si="3"/>
        <v>0.50641477860193596</v>
      </c>
      <c r="H30" s="32">
        <f t="shared" si="3"/>
        <v>0.47616739143355441</v>
      </c>
      <c r="I30" s="32">
        <f t="shared" si="3"/>
        <v>0.45248424217243793</v>
      </c>
      <c r="J30" s="32">
        <f t="shared" si="3"/>
        <v>0.43757282100331141</v>
      </c>
      <c r="K30" s="32">
        <f t="shared" si="3"/>
        <v>0.4090110916811236</v>
      </c>
      <c r="L30" s="32">
        <f t="shared" si="3"/>
        <v>0.51435317841016504</v>
      </c>
      <c r="M30" s="32">
        <f t="shared" si="3"/>
        <v>0.64259503081566094</v>
      </c>
      <c r="N30" s="32">
        <f t="shared" si="3"/>
        <v>0.66052179093200469</v>
      </c>
      <c r="O30" s="32">
        <f t="shared" si="3"/>
        <v>0.58688641568670208</v>
      </c>
      <c r="P30" s="32">
        <f t="shared" si="3"/>
        <v>0.76761591710165045</v>
      </c>
      <c r="Q30" s="32">
        <f t="shared" si="3"/>
        <v>0.46922365711733005</v>
      </c>
      <c r="R30" s="32">
        <f t="shared" si="3"/>
        <v>0.51493266273479332</v>
      </c>
      <c r="S30" s="32">
        <f t="shared" si="3"/>
        <v>0.58412069380030507</v>
      </c>
      <c r="T30" s="32">
        <f t="shared" si="3"/>
        <v>0.55150406234287497</v>
      </c>
      <c r="U30" s="32">
        <f t="shared" si="3"/>
        <v>0.53794557932891085</v>
      </c>
      <c r="V30" s="32">
        <f t="shared" si="3"/>
        <v>0.46754163528536186</v>
      </c>
      <c r="W30" s="32">
        <f t="shared" si="3"/>
        <v>0.4414533243704995</v>
      </c>
      <c r="X30" s="32">
        <f t="shared" si="3"/>
        <v>0.52710414682887563</v>
      </c>
      <c r="Y30" s="32">
        <f t="shared" si="3"/>
        <v>0.76088854721959509</v>
      </c>
      <c r="Z30" s="32">
        <f t="shared" si="3"/>
        <v>0.83124077091050408</v>
      </c>
      <c r="AA30" s="32">
        <f t="shared" si="3"/>
        <v>0.53270176839121064</v>
      </c>
      <c r="AB30" s="32">
        <f t="shared" si="3"/>
        <v>0.52025974239752337</v>
      </c>
    </row>
    <row r="31" spans="1:28" ht="16.350000000000001" customHeight="1">
      <c r="B31" s="29" t="s">
        <v>116</v>
      </c>
      <c r="C31" s="15" t="s">
        <v>83</v>
      </c>
      <c r="D31" s="15"/>
      <c r="E31" s="32">
        <f>E25/E8</f>
        <v>0</v>
      </c>
      <c r="F31" s="32">
        <f t="shared" ref="F31:AB31" si="4">F25/F8</f>
        <v>0</v>
      </c>
      <c r="G31" s="32">
        <f t="shared" si="4"/>
        <v>2.0493969552229839E-2</v>
      </c>
      <c r="H31" s="32">
        <f t="shared" si="4"/>
        <v>0</v>
      </c>
      <c r="I31" s="32">
        <f t="shared" si="4"/>
        <v>0</v>
      </c>
      <c r="J31" s="32">
        <f t="shared" si="4"/>
        <v>0</v>
      </c>
      <c r="K31" s="32">
        <f t="shared" si="4"/>
        <v>0</v>
      </c>
      <c r="L31" s="32">
        <f t="shared" si="4"/>
        <v>0</v>
      </c>
      <c r="M31" s="32">
        <f t="shared" si="4"/>
        <v>0</v>
      </c>
      <c r="N31" s="32">
        <f t="shared" si="4"/>
        <v>0</v>
      </c>
      <c r="O31" s="32">
        <f t="shared" si="4"/>
        <v>0</v>
      </c>
      <c r="P31" s="32">
        <f t="shared" si="4"/>
        <v>0</v>
      </c>
      <c r="Q31" s="32">
        <f t="shared" si="4"/>
        <v>0</v>
      </c>
      <c r="R31" s="32">
        <f t="shared" si="4"/>
        <v>0</v>
      </c>
      <c r="S31" s="32">
        <f t="shared" si="4"/>
        <v>0</v>
      </c>
      <c r="T31" s="32">
        <f t="shared" si="4"/>
        <v>0</v>
      </c>
      <c r="U31" s="32">
        <f t="shared" si="4"/>
        <v>0</v>
      </c>
      <c r="V31" s="32">
        <f t="shared" si="4"/>
        <v>0</v>
      </c>
      <c r="W31" s="32">
        <f t="shared" si="4"/>
        <v>0</v>
      </c>
      <c r="X31" s="32">
        <f t="shared" si="4"/>
        <v>0</v>
      </c>
      <c r="Y31" s="32">
        <f t="shared" si="4"/>
        <v>0</v>
      </c>
      <c r="Z31" s="32">
        <f t="shared" si="4"/>
        <v>0</v>
      </c>
      <c r="AA31" s="32">
        <f t="shared" si="4"/>
        <v>0</v>
      </c>
      <c r="AB31" s="32">
        <f t="shared" si="4"/>
        <v>0</v>
      </c>
    </row>
    <row r="32" spans="1:28" ht="16.350000000000001" customHeight="1">
      <c r="B32" s="29" t="s">
        <v>1</v>
      </c>
      <c r="C32" s="15" t="s">
        <v>83</v>
      </c>
      <c r="D32" s="13"/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A32" s="32">
        <v>0</v>
      </c>
      <c r="AB32" s="32">
        <v>0</v>
      </c>
    </row>
    <row r="33" spans="2:28" ht="16.350000000000001" customHeight="1">
      <c r="B33" s="30" t="s">
        <v>0</v>
      </c>
      <c r="C33" s="15" t="s">
        <v>83</v>
      </c>
      <c r="D33" s="28"/>
      <c r="E33" s="32">
        <f>E27/E10</f>
        <v>0.34641655271051686</v>
      </c>
      <c r="F33" s="32">
        <f t="shared" ref="F33:AB33" si="5">F27/F10</f>
        <v>0.38523191579750399</v>
      </c>
      <c r="G33" s="32">
        <f t="shared" si="5"/>
        <v>0.48188292879600675</v>
      </c>
      <c r="H33" s="32">
        <f t="shared" si="5"/>
        <v>0.4625715737268809</v>
      </c>
      <c r="I33" s="32">
        <f t="shared" si="5"/>
        <v>0.33775529043755581</v>
      </c>
      <c r="J33" s="32">
        <f t="shared" si="5"/>
        <v>0.31876014732251667</v>
      </c>
      <c r="K33" s="32">
        <f t="shared" si="5"/>
        <v>0.29609179425176396</v>
      </c>
      <c r="L33" s="32">
        <f t="shared" si="5"/>
        <v>0.34583365696559343</v>
      </c>
      <c r="M33" s="32">
        <f t="shared" si="5"/>
        <v>0.43446765013320743</v>
      </c>
      <c r="N33" s="32">
        <f t="shared" si="5"/>
        <v>0.63209424058351349</v>
      </c>
      <c r="O33" s="32">
        <f t="shared" si="5"/>
        <v>0.55551355085770437</v>
      </c>
      <c r="P33" s="32">
        <f t="shared" si="5"/>
        <v>0.72537075070125745</v>
      </c>
      <c r="Q33" s="32">
        <f t="shared" si="5"/>
        <v>0.44662041419123361</v>
      </c>
      <c r="R33" s="32">
        <f t="shared" si="5"/>
        <v>0.48633750176207824</v>
      </c>
      <c r="S33" s="32">
        <f t="shared" si="5"/>
        <v>0.55284926602182338</v>
      </c>
      <c r="T33" s="32">
        <f t="shared" si="5"/>
        <v>0.52632984498679714</v>
      </c>
      <c r="U33" s="32">
        <f t="shared" si="5"/>
        <v>0.45866718149531649</v>
      </c>
      <c r="V33" s="32">
        <f t="shared" si="5"/>
        <v>0.35111776079992096</v>
      </c>
      <c r="W33" s="32">
        <f t="shared" si="5"/>
        <v>0.30450596354179599</v>
      </c>
      <c r="X33" s="32">
        <f t="shared" si="5"/>
        <v>0.34859931005446665</v>
      </c>
      <c r="Y33" s="32">
        <f t="shared" si="5"/>
        <v>0.56321108203303205</v>
      </c>
      <c r="Z33" s="32">
        <f t="shared" si="5"/>
        <v>0.73344289603732138</v>
      </c>
      <c r="AA33" s="32">
        <f t="shared" si="5"/>
        <v>0.4771913965246331</v>
      </c>
      <c r="AB33" s="32">
        <f t="shared" si="5"/>
        <v>0.45552293085775847</v>
      </c>
    </row>
    <row r="34" spans="2:28" ht="16.350000000000001" customHeight="1">
      <c r="B34" s="14"/>
      <c r="C34" s="28"/>
      <c r="D34" s="28"/>
    </row>
    <row r="35" spans="2:28" ht="16.350000000000001" customHeight="1">
      <c r="B35" s="7"/>
      <c r="C35" s="28"/>
      <c r="D35" s="28"/>
    </row>
    <row r="36" spans="2:28" ht="16.350000000000001" customHeight="1">
      <c r="B36" s="7"/>
      <c r="C36" s="28"/>
      <c r="D36" s="28"/>
    </row>
    <row r="37" spans="2:28" ht="16.350000000000001" customHeight="1">
      <c r="B37" s="7"/>
      <c r="C37" s="28"/>
      <c r="D37" s="28"/>
    </row>
    <row r="38" spans="2:28" ht="16.350000000000001" customHeight="1">
      <c r="B38" s="7"/>
      <c r="C38" s="28"/>
      <c r="D38" s="28"/>
    </row>
    <row r="39" spans="2:28" ht="16.350000000000001" customHeight="1">
      <c r="B39" s="7"/>
      <c r="C39" s="28"/>
      <c r="D39" s="28"/>
    </row>
    <row r="40" spans="2:28">
      <c r="B40" s="7"/>
      <c r="C40" s="28"/>
      <c r="D40" s="28"/>
    </row>
    <row r="41" spans="2:28">
      <c r="B41" s="7"/>
      <c r="C41" s="28"/>
      <c r="D41" s="28"/>
    </row>
    <row r="42" spans="2:28">
      <c r="B42" s="7"/>
      <c r="C42" s="28"/>
      <c r="D42" s="28"/>
    </row>
    <row r="43" spans="2:28">
      <c r="B43" s="7"/>
      <c r="C43" s="28"/>
      <c r="D43" s="28"/>
    </row>
    <row r="44" spans="2:28">
      <c r="B44" s="14"/>
      <c r="C44" s="28"/>
      <c r="D44" s="28"/>
    </row>
    <row r="45" spans="2:28">
      <c r="B45" s="14"/>
      <c r="C45" s="28"/>
      <c r="D45" s="28"/>
    </row>
    <row r="46" spans="2:28">
      <c r="B46" s="14"/>
      <c r="C46" s="15"/>
      <c r="D46" s="15"/>
    </row>
    <row r="47" spans="2:28">
      <c r="B47" s="14"/>
      <c r="C47" s="13"/>
      <c r="D47" s="13"/>
    </row>
    <row r="48" spans="2:28">
      <c r="B48" s="14"/>
      <c r="C48" s="28"/>
      <c r="D48" s="28"/>
    </row>
    <row r="49" spans="2:4">
      <c r="B49" s="14"/>
      <c r="C49" s="28"/>
      <c r="D49" s="28"/>
    </row>
    <row r="50" spans="2:4">
      <c r="B50" s="14"/>
      <c r="C50" s="28"/>
      <c r="D50" s="28"/>
    </row>
    <row r="51" spans="2:4">
      <c r="B51" s="14"/>
      <c r="C51" s="28"/>
      <c r="D51" s="28"/>
    </row>
    <row r="52" spans="2:4">
      <c r="B52" s="14"/>
      <c r="C52" s="28"/>
      <c r="D52" s="28"/>
    </row>
    <row r="53" spans="2:4">
      <c r="B53" s="14"/>
      <c r="C53" s="28"/>
      <c r="D53" s="28"/>
    </row>
    <row r="54" spans="2:4">
      <c r="C54" s="28"/>
      <c r="D54" s="28"/>
    </row>
    <row r="55" spans="2:4">
      <c r="C55" s="28"/>
      <c r="D55" s="28"/>
    </row>
    <row r="56" spans="2:4">
      <c r="C56" s="28"/>
      <c r="D56" s="28"/>
    </row>
    <row r="57" spans="2:4">
      <c r="C57" s="28"/>
      <c r="D57" s="28"/>
    </row>
    <row r="58" spans="2:4">
      <c r="C58" s="28"/>
      <c r="D58" s="28"/>
    </row>
    <row r="59" spans="2:4">
      <c r="C59" s="13"/>
      <c r="D59" s="13"/>
    </row>
    <row r="60" spans="2:4">
      <c r="C60" s="28"/>
      <c r="D60" s="28"/>
    </row>
    <row r="61" spans="2:4">
      <c r="C61" s="28"/>
      <c r="D61" s="28"/>
    </row>
    <row r="62" spans="2:4">
      <c r="C62" s="28"/>
      <c r="D62" s="28"/>
    </row>
    <row r="63" spans="2:4">
      <c r="C63" s="28"/>
      <c r="D63" s="28"/>
    </row>
    <row r="64" spans="2:4">
      <c r="C64" s="28"/>
      <c r="D64" s="28"/>
    </row>
    <row r="65" spans="3:4">
      <c r="C65" s="28"/>
      <c r="D65" s="28"/>
    </row>
    <row r="66" spans="3:4">
      <c r="C66" s="15"/>
      <c r="D66" s="15"/>
    </row>
    <row r="67" spans="3:4">
      <c r="C67" s="13"/>
      <c r="D67" s="13"/>
    </row>
    <row r="68" spans="3:4">
      <c r="C68" s="28"/>
      <c r="D68" s="28"/>
    </row>
    <row r="69" spans="3:4">
      <c r="C69" s="28"/>
      <c r="D69" s="28"/>
    </row>
    <row r="70" spans="3:4">
      <c r="C70" s="28"/>
      <c r="D70" s="28"/>
    </row>
    <row r="71" spans="3:4">
      <c r="C71" s="28"/>
      <c r="D71" s="28"/>
    </row>
    <row r="72" spans="3:4">
      <c r="C72" s="28"/>
      <c r="D72" s="28"/>
    </row>
    <row r="73" spans="3:4">
      <c r="C73" s="28"/>
      <c r="D73" s="28"/>
    </row>
    <row r="74" spans="3:4">
      <c r="C74" s="28"/>
      <c r="D74" s="28"/>
    </row>
    <row r="75" spans="3:4">
      <c r="C75" s="28"/>
      <c r="D75" s="28"/>
    </row>
    <row r="76" spans="3:4">
      <c r="C76" s="28"/>
      <c r="D76" s="28"/>
    </row>
    <row r="77" spans="3:4">
      <c r="C77" s="33"/>
      <c r="D77" s="33"/>
    </row>
    <row r="78" spans="3:4">
      <c r="C78" s="15"/>
      <c r="D78" s="15"/>
    </row>
    <row r="79" spans="3:4">
      <c r="C79" s="13"/>
      <c r="D79" s="13"/>
    </row>
    <row r="80" spans="3:4">
      <c r="C80" s="28"/>
      <c r="D80" s="28"/>
    </row>
    <row r="81" spans="3:4">
      <c r="C81" s="28"/>
      <c r="D81" s="28"/>
    </row>
    <row r="82" spans="3:4">
      <c r="C82" s="28"/>
      <c r="D82" s="28"/>
    </row>
    <row r="83" spans="3:4">
      <c r="C83" s="28"/>
      <c r="D83" s="28"/>
    </row>
    <row r="84" spans="3:4">
      <c r="C84" s="28"/>
      <c r="D84" s="28"/>
    </row>
    <row r="85" spans="3:4">
      <c r="C85" s="28"/>
      <c r="D85" s="28"/>
    </row>
    <row r="86" spans="3:4">
      <c r="C86" s="28"/>
      <c r="D86" s="28"/>
    </row>
    <row r="87" spans="3:4">
      <c r="C87" s="28"/>
      <c r="D87" s="28"/>
    </row>
    <row r="88" spans="3:4">
      <c r="C88" s="28"/>
      <c r="D88" s="28"/>
    </row>
    <row r="89" spans="3:4">
      <c r="C89" s="33"/>
      <c r="D89" s="33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79998168889431442"/>
  </sheetPr>
  <dimension ref="A1:N121"/>
  <sheetViews>
    <sheetView tabSelected="1" topLeftCell="A52" zoomScale="80" zoomScaleNormal="80" workbookViewId="0">
      <selection activeCell="E64" sqref="E64:G80"/>
    </sheetView>
  </sheetViews>
  <sheetFormatPr defaultColWidth="8" defaultRowHeight="12.75"/>
  <cols>
    <col min="1" max="1" width="8" style="7"/>
    <col min="2" max="2" width="58.5703125" style="22" customWidth="1"/>
    <col min="3" max="3" width="12.140625" style="76" customWidth="1"/>
    <col min="4" max="4" width="13.42578125" style="23" customWidth="1"/>
    <col min="5" max="7" width="5.5703125" style="67" bestFit="1" customWidth="1"/>
    <col min="8" max="8" width="13.5703125" style="7" bestFit="1" customWidth="1"/>
    <col min="9" max="12" width="8" style="7"/>
    <col min="13" max="13" width="10.7109375" style="7" bestFit="1" customWidth="1"/>
    <col min="14" max="16384" width="8" style="7"/>
  </cols>
  <sheetData>
    <row r="1" spans="1:8" s="17" customFormat="1" ht="15.75" customHeight="1" thickBot="1">
      <c r="A1" s="3" t="s">
        <v>4</v>
      </c>
      <c r="B1" s="5"/>
      <c r="C1" s="61" t="s">
        <v>27</v>
      </c>
      <c r="D1" s="16" t="s">
        <v>28</v>
      </c>
      <c r="E1" s="62">
        <v>2022</v>
      </c>
      <c r="F1" s="63">
        <v>2023</v>
      </c>
      <c r="G1" s="64">
        <v>2024</v>
      </c>
    </row>
    <row r="2" spans="1:8" ht="16.350000000000001" customHeight="1">
      <c r="B2" s="18" t="s">
        <v>117</v>
      </c>
      <c r="C2" s="65" t="s">
        <v>81</v>
      </c>
      <c r="D2" s="19"/>
      <c r="E2" s="66">
        <v>532.82482920999996</v>
      </c>
      <c r="F2" s="66">
        <v>620.67796271999998</v>
      </c>
      <c r="G2" s="66">
        <v>742.69282199000008</v>
      </c>
    </row>
    <row r="3" spans="1:8" ht="16.350000000000001" customHeight="1">
      <c r="B3" s="8" t="s">
        <v>118</v>
      </c>
      <c r="C3" s="65" t="s">
        <v>81</v>
      </c>
      <c r="D3" s="19"/>
      <c r="E3" s="66">
        <v>-226.20520624999997</v>
      </c>
      <c r="F3" s="66">
        <v>-236.29663399</v>
      </c>
      <c r="G3" s="66">
        <v>-239.36811700000001</v>
      </c>
    </row>
    <row r="4" spans="1:8" ht="16.350000000000001" customHeight="1">
      <c r="B4" s="8" t="s">
        <v>13</v>
      </c>
      <c r="C4" s="65" t="s">
        <v>81</v>
      </c>
      <c r="D4" s="19"/>
      <c r="E4" s="66">
        <v>0</v>
      </c>
      <c r="F4" s="66">
        <v>0</v>
      </c>
      <c r="G4" s="67">
        <v>0</v>
      </c>
    </row>
    <row r="5" spans="1:8" ht="16.350000000000001" customHeight="1">
      <c r="B5" s="34" t="s">
        <v>15</v>
      </c>
      <c r="C5" s="65" t="s">
        <v>81</v>
      </c>
      <c r="D5" s="19"/>
      <c r="E5" s="66">
        <v>306.61962296000002</v>
      </c>
      <c r="F5" s="66">
        <v>384.38132872999995</v>
      </c>
      <c r="G5" s="66">
        <v>503.3247049900001</v>
      </c>
    </row>
    <row r="6" spans="1:8" ht="16.350000000000001" customHeight="1">
      <c r="B6" s="8" t="s">
        <v>5</v>
      </c>
      <c r="C6" s="65" t="s">
        <v>81</v>
      </c>
      <c r="D6" s="19"/>
      <c r="E6" s="66">
        <v>0</v>
      </c>
      <c r="F6" s="66">
        <v>0</v>
      </c>
      <c r="G6" s="66">
        <v>0</v>
      </c>
    </row>
    <row r="7" spans="1:8" ht="16.350000000000001" customHeight="1">
      <c r="B7" s="8" t="s">
        <v>9</v>
      </c>
      <c r="C7" s="65" t="s">
        <v>81</v>
      </c>
      <c r="D7" s="19"/>
      <c r="E7" s="66">
        <v>0</v>
      </c>
      <c r="F7" s="66">
        <v>0</v>
      </c>
      <c r="G7" s="67">
        <v>0</v>
      </c>
    </row>
    <row r="8" spans="1:8" ht="16.350000000000001" customHeight="1">
      <c r="B8" s="8" t="s">
        <v>8</v>
      </c>
      <c r="C8" s="65" t="s">
        <v>81</v>
      </c>
      <c r="D8" s="19"/>
      <c r="E8" s="66">
        <v>-182.92385822</v>
      </c>
      <c r="F8" s="66">
        <v>-64.640090520000001</v>
      </c>
      <c r="G8" s="66">
        <v>-106.70051373</v>
      </c>
    </row>
    <row r="9" spans="1:8" ht="16.350000000000001" customHeight="1">
      <c r="B9" s="34" t="s">
        <v>16</v>
      </c>
      <c r="C9" s="65" t="s">
        <v>81</v>
      </c>
      <c r="D9" s="19"/>
      <c r="E9" s="66">
        <v>123.69576474000002</v>
      </c>
      <c r="F9" s="66">
        <v>319.74123820999995</v>
      </c>
      <c r="G9" s="66">
        <v>396.62419126000009</v>
      </c>
    </row>
    <row r="10" spans="1:8" ht="16.350000000000001" customHeight="1">
      <c r="B10" s="8" t="s">
        <v>6</v>
      </c>
      <c r="C10" s="65" t="s">
        <v>81</v>
      </c>
      <c r="D10" s="19"/>
      <c r="E10" s="66">
        <v>-285.23634258999999</v>
      </c>
      <c r="F10" s="66">
        <v>-293.04156038000002</v>
      </c>
      <c r="G10" s="66">
        <v>-335.64821959</v>
      </c>
    </row>
    <row r="11" spans="1:8" ht="16.350000000000001" customHeight="1">
      <c r="B11" s="34" t="s">
        <v>18</v>
      </c>
      <c r="C11" s="65" t="s">
        <v>81</v>
      </c>
      <c r="D11" s="35"/>
      <c r="E11" s="66">
        <v>-161.54057784999998</v>
      </c>
      <c r="F11" s="66">
        <v>26.699677829999928</v>
      </c>
      <c r="G11" s="66">
        <v>60.975971670000092</v>
      </c>
    </row>
    <row r="12" spans="1:8" ht="16.350000000000001" customHeight="1">
      <c r="B12" s="8" t="s">
        <v>7</v>
      </c>
      <c r="C12" s="65" t="s">
        <v>81</v>
      </c>
      <c r="D12" s="19"/>
      <c r="E12" s="66">
        <v>0</v>
      </c>
      <c r="F12" s="66">
        <v>0</v>
      </c>
      <c r="G12" s="66">
        <v>0</v>
      </c>
    </row>
    <row r="13" spans="1:8" ht="16.350000000000001" customHeight="1">
      <c r="B13" s="8" t="s">
        <v>14</v>
      </c>
      <c r="C13" s="65" t="s">
        <v>81</v>
      </c>
      <c r="D13" s="19"/>
      <c r="E13" s="66">
        <v>11.28395781</v>
      </c>
      <c r="F13" s="66">
        <v>-13.034962029999999</v>
      </c>
      <c r="G13" s="66">
        <v>-20.952507839999999</v>
      </c>
    </row>
    <row r="14" spans="1:8" ht="16.350000000000001" customHeight="1">
      <c r="B14" s="36" t="s">
        <v>17</v>
      </c>
      <c r="C14" s="65" t="s">
        <v>81</v>
      </c>
      <c r="D14" s="19"/>
      <c r="E14" s="68">
        <v>-150.25662004</v>
      </c>
      <c r="F14" s="68">
        <v>13.664715800000002</v>
      </c>
      <c r="G14" s="68">
        <v>40.023463830000097</v>
      </c>
      <c r="H14" s="69"/>
    </row>
    <row r="15" spans="1:8" ht="16.350000000000001" customHeight="1">
      <c r="B15" s="15"/>
      <c r="C15" s="65"/>
      <c r="D15" s="19"/>
    </row>
    <row r="16" spans="1:8" s="17" customFormat="1" ht="15.75" customHeight="1" thickBot="1">
      <c r="A16" s="3" t="s">
        <v>36</v>
      </c>
      <c r="B16" s="5"/>
      <c r="C16" s="61" t="s">
        <v>27</v>
      </c>
      <c r="D16" s="16" t="s">
        <v>28</v>
      </c>
      <c r="E16" s="62">
        <v>2022</v>
      </c>
      <c r="F16" s="63">
        <v>2023</v>
      </c>
      <c r="G16" s="64">
        <v>2024</v>
      </c>
    </row>
    <row r="17" spans="1:13" ht="16.350000000000001" customHeight="1">
      <c r="B17" s="18" t="s">
        <v>31</v>
      </c>
      <c r="C17" s="65" t="s">
        <v>81</v>
      </c>
      <c r="D17" s="19"/>
      <c r="E17" s="66">
        <v>3530.8339999999998</v>
      </c>
      <c r="F17" s="66">
        <v>3315.81</v>
      </c>
      <c r="G17" s="66">
        <v>3968.4492209099999</v>
      </c>
    </row>
    <row r="18" spans="1:13" ht="16.350000000000001" customHeight="1">
      <c r="B18" s="8" t="s">
        <v>32</v>
      </c>
      <c r="C18" s="65" t="s">
        <v>81</v>
      </c>
      <c r="D18" s="19"/>
      <c r="E18" s="66">
        <v>5.0999999999999997E-2</v>
      </c>
      <c r="F18" s="66">
        <v>7.0000000000000007E-2</v>
      </c>
      <c r="G18" s="67">
        <v>0</v>
      </c>
    </row>
    <row r="19" spans="1:13" ht="16.350000000000001" customHeight="1">
      <c r="B19" s="8" t="s">
        <v>35</v>
      </c>
      <c r="C19" s="65" t="s">
        <v>81</v>
      </c>
      <c r="D19" s="35"/>
      <c r="E19" s="66">
        <v>0</v>
      </c>
      <c r="F19" s="66">
        <v>0</v>
      </c>
      <c r="G19" s="67">
        <v>0</v>
      </c>
    </row>
    <row r="20" spans="1:13" ht="16.350000000000001" customHeight="1">
      <c r="B20" s="8" t="s">
        <v>34</v>
      </c>
      <c r="C20" s="65" t="s">
        <v>81</v>
      </c>
      <c r="D20" s="19"/>
      <c r="E20" s="66">
        <v>0</v>
      </c>
      <c r="F20" s="66">
        <v>0</v>
      </c>
      <c r="G20" s="67">
        <v>0</v>
      </c>
    </row>
    <row r="21" spans="1:13" ht="16.350000000000001" customHeight="1">
      <c r="B21" s="34" t="s">
        <v>41</v>
      </c>
      <c r="C21" s="65" t="s">
        <v>81</v>
      </c>
      <c r="D21" s="21"/>
      <c r="E21" s="66">
        <v>3530.8849999999998</v>
      </c>
      <c r="F21" s="66">
        <v>3315.88</v>
      </c>
      <c r="G21" s="66">
        <v>3968.4492209099999</v>
      </c>
    </row>
    <row r="22" spans="1:13" ht="16.350000000000001" customHeight="1">
      <c r="B22" s="8" t="s">
        <v>37</v>
      </c>
      <c r="C22" s="65" t="s">
        <v>81</v>
      </c>
      <c r="D22" s="35"/>
      <c r="E22" s="66">
        <v>34.223999999999997</v>
      </c>
      <c r="F22" s="66">
        <v>47.384999999999998</v>
      </c>
      <c r="G22" s="66">
        <v>68.683414970000001</v>
      </c>
      <c r="M22" s="37"/>
    </row>
    <row r="23" spans="1:13" ht="16.350000000000001" customHeight="1">
      <c r="B23" s="8" t="s">
        <v>33</v>
      </c>
      <c r="C23" s="65" t="s">
        <v>81</v>
      </c>
      <c r="D23" s="19"/>
      <c r="E23" s="66">
        <v>362.791</v>
      </c>
      <c r="F23" s="66">
        <v>586.79499999999996</v>
      </c>
      <c r="G23" s="66">
        <v>824.84828887000003</v>
      </c>
    </row>
    <row r="24" spans="1:13" ht="16.350000000000001" customHeight="1">
      <c r="B24" s="8" t="s">
        <v>2</v>
      </c>
      <c r="C24" s="65" t="s">
        <v>81</v>
      </c>
      <c r="D24" s="19"/>
      <c r="E24" s="66">
        <v>0</v>
      </c>
      <c r="F24" s="66">
        <v>0</v>
      </c>
      <c r="G24" s="67">
        <v>0</v>
      </c>
    </row>
    <row r="25" spans="1:13" ht="16.350000000000001" customHeight="1">
      <c r="B25" s="8" t="s">
        <v>38</v>
      </c>
      <c r="C25" s="65" t="s">
        <v>81</v>
      </c>
      <c r="D25" s="19"/>
      <c r="E25" s="66">
        <v>6.0270000000000001</v>
      </c>
      <c r="F25" s="66">
        <v>10.955</v>
      </c>
      <c r="G25" s="66">
        <v>1.75531595</v>
      </c>
    </row>
    <row r="26" spans="1:13" ht="16.350000000000001" customHeight="1">
      <c r="B26" s="8" t="s">
        <v>39</v>
      </c>
      <c r="C26" s="65" t="s">
        <v>81</v>
      </c>
      <c r="D26" s="19"/>
      <c r="E26" s="66">
        <v>0</v>
      </c>
      <c r="F26" s="66">
        <v>0</v>
      </c>
      <c r="G26" s="66">
        <v>0</v>
      </c>
    </row>
    <row r="27" spans="1:13" ht="16.350000000000001" customHeight="1">
      <c r="B27" s="8" t="s">
        <v>40</v>
      </c>
      <c r="C27" s="65" t="s">
        <v>81</v>
      </c>
      <c r="D27" s="19"/>
      <c r="E27" s="66">
        <v>5.8540000000000001</v>
      </c>
      <c r="F27" s="66">
        <v>7.2439999999999998</v>
      </c>
      <c r="G27" s="66">
        <v>33.861322260000001</v>
      </c>
    </row>
    <row r="28" spans="1:13" ht="16.350000000000001" customHeight="1">
      <c r="B28" s="34" t="s">
        <v>42</v>
      </c>
      <c r="C28" s="65" t="s">
        <v>81</v>
      </c>
      <c r="D28" s="19"/>
      <c r="E28" s="66">
        <v>408.89599999999996</v>
      </c>
      <c r="F28" s="66">
        <v>652.37900000000002</v>
      </c>
      <c r="G28" s="66">
        <v>929.14834205</v>
      </c>
    </row>
    <row r="29" spans="1:13" ht="16.350000000000001" customHeight="1">
      <c r="B29" s="10" t="s">
        <v>43</v>
      </c>
      <c r="C29" s="65" t="s">
        <v>81</v>
      </c>
      <c r="D29" s="19"/>
      <c r="E29" s="68">
        <v>3939.7809999999999</v>
      </c>
      <c r="F29" s="68">
        <v>3968.259</v>
      </c>
      <c r="G29" s="68">
        <v>4897.5975629599998</v>
      </c>
    </row>
    <row r="30" spans="1:13" ht="16.350000000000001" customHeight="1">
      <c r="B30" s="27"/>
      <c r="C30" s="65"/>
      <c r="D30" s="19"/>
      <c r="E30" s="68"/>
      <c r="F30" s="68"/>
    </row>
    <row r="31" spans="1:13" s="17" customFormat="1" ht="15.75" customHeight="1" thickBot="1">
      <c r="A31" s="3" t="s">
        <v>73</v>
      </c>
      <c r="B31" s="5"/>
      <c r="C31" s="61" t="s">
        <v>27</v>
      </c>
      <c r="D31" s="16" t="s">
        <v>28</v>
      </c>
      <c r="E31" s="62">
        <v>2022</v>
      </c>
      <c r="F31" s="63">
        <v>2023</v>
      </c>
      <c r="G31" s="64">
        <v>2024</v>
      </c>
    </row>
    <row r="32" spans="1:13" ht="16.350000000000001" customHeight="1">
      <c r="B32" s="18" t="s">
        <v>150</v>
      </c>
      <c r="C32" s="65" t="s">
        <v>81</v>
      </c>
      <c r="D32" s="19"/>
      <c r="E32" s="66">
        <v>567.82640715999992</v>
      </c>
      <c r="F32" s="66">
        <v>856.44115178999994</v>
      </c>
      <c r="G32" s="66">
        <v>1171.2465788299999</v>
      </c>
    </row>
    <row r="33" spans="1:13" ht="16.350000000000001" customHeight="1">
      <c r="B33" s="8" t="s">
        <v>157</v>
      </c>
      <c r="C33" s="65" t="s">
        <v>81</v>
      </c>
      <c r="D33" s="19"/>
      <c r="E33" s="66"/>
      <c r="F33" s="66"/>
      <c r="G33" s="66">
        <v>29.931700469999999</v>
      </c>
    </row>
    <row r="34" spans="1:13" ht="16.350000000000001" customHeight="1">
      <c r="B34" s="18" t="s">
        <v>76</v>
      </c>
      <c r="C34" s="65" t="s">
        <v>81</v>
      </c>
      <c r="D34" s="21"/>
      <c r="E34" s="66"/>
      <c r="F34" s="66"/>
    </row>
    <row r="35" spans="1:13" ht="16.350000000000001" customHeight="1">
      <c r="B35" s="18" t="s">
        <v>77</v>
      </c>
      <c r="C35" s="65" t="s">
        <v>81</v>
      </c>
      <c r="D35" s="35"/>
      <c r="E35" s="66"/>
      <c r="F35" s="66"/>
    </row>
    <row r="36" spans="1:13" ht="16.350000000000001" customHeight="1">
      <c r="B36" s="8" t="s">
        <v>78</v>
      </c>
      <c r="C36" s="65" t="s">
        <v>81</v>
      </c>
      <c r="D36" s="35"/>
      <c r="E36" s="66"/>
      <c r="F36" s="66"/>
    </row>
    <row r="37" spans="1:13" ht="16.350000000000001" customHeight="1">
      <c r="B37" s="8" t="s">
        <v>80</v>
      </c>
      <c r="C37" s="65" t="s">
        <v>81</v>
      </c>
      <c r="D37" s="35"/>
      <c r="E37" s="66"/>
      <c r="F37" s="66"/>
    </row>
    <row r="38" spans="1:13" ht="16.350000000000001" customHeight="1">
      <c r="B38" s="10" t="s">
        <v>3</v>
      </c>
      <c r="C38" s="65" t="s">
        <v>81</v>
      </c>
      <c r="D38" s="19"/>
      <c r="E38" s="68"/>
      <c r="F38" s="68"/>
    </row>
    <row r="39" spans="1:13" ht="16.350000000000001" customHeight="1">
      <c r="B39" s="27"/>
      <c r="C39" s="65"/>
      <c r="D39" s="19"/>
      <c r="E39" s="70"/>
      <c r="F39" s="70"/>
      <c r="G39" s="70"/>
      <c r="H39" s="12"/>
      <c r="I39" s="12"/>
    </row>
    <row r="40" spans="1:13" s="17" customFormat="1" ht="15.75" customHeight="1" thickBot="1">
      <c r="A40" s="3" t="s">
        <v>52</v>
      </c>
      <c r="B40" s="5"/>
      <c r="C40" s="61" t="s">
        <v>27</v>
      </c>
      <c r="D40" s="16" t="s">
        <v>28</v>
      </c>
      <c r="E40" s="62">
        <v>2022</v>
      </c>
      <c r="F40" s="63">
        <v>2023</v>
      </c>
      <c r="G40" s="62">
        <v>2024</v>
      </c>
    </row>
    <row r="41" spans="1:13" ht="16.350000000000001" customHeight="1">
      <c r="B41" s="18" t="s">
        <v>53</v>
      </c>
      <c r="C41" s="65" t="s">
        <v>81</v>
      </c>
      <c r="D41" s="19"/>
      <c r="E41" s="66">
        <v>0</v>
      </c>
      <c r="F41" s="66">
        <v>0</v>
      </c>
      <c r="G41" s="67">
        <v>0</v>
      </c>
    </row>
    <row r="42" spans="1:13" ht="16.350000000000001" customHeight="1">
      <c r="B42" s="8" t="s">
        <v>54</v>
      </c>
      <c r="C42" s="65" t="s">
        <v>81</v>
      </c>
      <c r="D42" s="19"/>
      <c r="E42" s="66">
        <v>0</v>
      </c>
      <c r="F42" s="66">
        <v>0</v>
      </c>
      <c r="G42" s="67">
        <v>0</v>
      </c>
    </row>
    <row r="43" spans="1:13" ht="16.350000000000001" customHeight="1">
      <c r="B43" s="8" t="s">
        <v>55</v>
      </c>
      <c r="C43" s="65" t="s">
        <v>81</v>
      </c>
      <c r="D43" s="19"/>
      <c r="E43" s="66">
        <v>185.815</v>
      </c>
      <c r="F43" s="66">
        <v>207.40799999999999</v>
      </c>
      <c r="G43" s="66">
        <v>190.905263600334</v>
      </c>
    </row>
    <row r="44" spans="1:13" ht="16.350000000000001" customHeight="1">
      <c r="B44" s="34" t="s">
        <v>56</v>
      </c>
      <c r="C44" s="65" t="s">
        <v>81</v>
      </c>
      <c r="D44" s="19"/>
      <c r="E44" s="66">
        <v>185.815</v>
      </c>
      <c r="F44" s="66">
        <v>207.40799999999999</v>
      </c>
      <c r="G44" s="66">
        <v>190.905263600334</v>
      </c>
    </row>
    <row r="45" spans="1:13" ht="16.350000000000001" customHeight="1">
      <c r="B45" s="8" t="s">
        <v>57</v>
      </c>
      <c r="C45" s="65" t="s">
        <v>81</v>
      </c>
      <c r="D45" s="19"/>
      <c r="E45" s="66">
        <v>0</v>
      </c>
      <c r="F45" s="66">
        <v>0</v>
      </c>
      <c r="G45" s="67">
        <v>0</v>
      </c>
    </row>
    <row r="46" spans="1:13" ht="16.350000000000001" customHeight="1">
      <c r="B46" s="8" t="s">
        <v>58</v>
      </c>
      <c r="C46" s="65" t="s">
        <v>81</v>
      </c>
      <c r="D46" s="21"/>
      <c r="E46" s="66">
        <v>19.917999999999999</v>
      </c>
      <c r="F46" s="66">
        <v>17.056999999999999</v>
      </c>
      <c r="G46" s="66">
        <v>10.67687158</v>
      </c>
      <c r="M46" s="37"/>
    </row>
    <row r="47" spans="1:13" ht="16.350000000000001" customHeight="1">
      <c r="B47" s="8" t="s">
        <v>59</v>
      </c>
      <c r="C47" s="65" t="s">
        <v>81</v>
      </c>
      <c r="D47" s="35"/>
      <c r="E47" s="66">
        <v>0</v>
      </c>
      <c r="F47" s="66">
        <v>0</v>
      </c>
      <c r="G47" s="67">
        <v>0</v>
      </c>
    </row>
    <row r="48" spans="1:13" ht="16.350000000000001" customHeight="1">
      <c r="B48" s="8" t="s">
        <v>61</v>
      </c>
      <c r="C48" s="65" t="s">
        <v>81</v>
      </c>
      <c r="D48" s="19"/>
      <c r="E48" s="66">
        <v>0</v>
      </c>
      <c r="F48" s="66">
        <v>0</v>
      </c>
      <c r="G48" s="67">
        <v>0</v>
      </c>
    </row>
    <row r="49" spans="1:7" ht="16.350000000000001" customHeight="1">
      <c r="B49" s="8" t="s">
        <v>60</v>
      </c>
      <c r="C49" s="65" t="s">
        <v>81</v>
      </c>
      <c r="D49" s="19"/>
      <c r="E49" s="66">
        <v>51.305</v>
      </c>
      <c r="F49" s="66">
        <v>37.210999999999999</v>
      </c>
      <c r="G49" s="66">
        <v>18.998587539999999</v>
      </c>
    </row>
    <row r="50" spans="1:7" ht="16.350000000000001" customHeight="1">
      <c r="B50" s="8" t="s">
        <v>62</v>
      </c>
      <c r="C50" s="65" t="s">
        <v>81</v>
      </c>
      <c r="D50" s="19"/>
      <c r="E50" s="66">
        <v>9.1920000000000002</v>
      </c>
      <c r="F50" s="66">
        <v>14.286</v>
      </c>
      <c r="G50" s="66">
        <v>12.852861460000002</v>
      </c>
    </row>
    <row r="51" spans="1:7" ht="16.350000000000001" customHeight="1">
      <c r="B51" s="34" t="s">
        <v>63</v>
      </c>
      <c r="C51" s="65" t="s">
        <v>81</v>
      </c>
      <c r="D51" s="19"/>
      <c r="E51" s="66">
        <v>80.414999999999992</v>
      </c>
      <c r="F51" s="66">
        <v>68.554000000000002</v>
      </c>
      <c r="G51" s="66">
        <v>42.528320579999999</v>
      </c>
    </row>
    <row r="52" spans="1:7" ht="16.350000000000001" customHeight="1">
      <c r="B52" s="10" t="s">
        <v>87</v>
      </c>
      <c r="C52" s="65" t="s">
        <v>81</v>
      </c>
      <c r="D52" s="19"/>
      <c r="E52" s="68">
        <v>266.23</v>
      </c>
      <c r="F52" s="68">
        <v>275.96199999999999</v>
      </c>
      <c r="G52" s="68">
        <v>233.43358418033398</v>
      </c>
    </row>
    <row r="53" spans="1:7" ht="16.350000000000001" customHeight="1">
      <c r="B53" s="27"/>
      <c r="C53" s="65"/>
      <c r="D53" s="19"/>
      <c r="E53" s="68"/>
      <c r="F53" s="68"/>
    </row>
    <row r="54" spans="1:7" s="17" customFormat="1" ht="15.75" customHeight="1" thickBot="1">
      <c r="A54" s="3" t="s">
        <v>79</v>
      </c>
      <c r="B54" s="5"/>
      <c r="C54" s="61" t="s">
        <v>27</v>
      </c>
      <c r="D54" s="16" t="s">
        <v>28</v>
      </c>
      <c r="E54" s="62">
        <v>2022</v>
      </c>
      <c r="F54" s="63">
        <v>2023</v>
      </c>
      <c r="G54" s="62">
        <v>2024</v>
      </c>
    </row>
    <row r="55" spans="1:7" ht="16.350000000000001" customHeight="1">
      <c r="B55" s="18" t="s">
        <v>74</v>
      </c>
      <c r="C55" s="65" t="s">
        <v>81</v>
      </c>
      <c r="D55" s="19"/>
      <c r="E55" s="66"/>
      <c r="F55" s="66"/>
    </row>
    <row r="56" spans="1:7" ht="16.350000000000001" customHeight="1">
      <c r="B56" s="8" t="s">
        <v>75</v>
      </c>
      <c r="C56" s="65" t="s">
        <v>81</v>
      </c>
      <c r="D56" s="19"/>
      <c r="E56" s="66"/>
      <c r="F56" s="66"/>
    </row>
    <row r="57" spans="1:7" ht="16.350000000000001" customHeight="1">
      <c r="B57" s="18" t="s">
        <v>76</v>
      </c>
      <c r="C57" s="65" t="s">
        <v>81</v>
      </c>
      <c r="D57" s="21"/>
      <c r="E57" s="66"/>
      <c r="F57" s="66"/>
    </row>
    <row r="58" spans="1:7" ht="16.350000000000001" customHeight="1">
      <c r="B58" s="18" t="s">
        <v>77</v>
      </c>
      <c r="C58" s="65" t="s">
        <v>81</v>
      </c>
      <c r="D58" s="35"/>
      <c r="E58" s="66"/>
      <c r="F58" s="66"/>
    </row>
    <row r="59" spans="1:7" ht="16.350000000000001" customHeight="1">
      <c r="B59" s="8" t="s">
        <v>78</v>
      </c>
      <c r="C59" s="65" t="s">
        <v>81</v>
      </c>
      <c r="D59" s="35"/>
      <c r="E59" s="66"/>
      <c r="F59" s="66"/>
    </row>
    <row r="60" spans="1:7" ht="16.350000000000001" customHeight="1">
      <c r="B60" s="8" t="s">
        <v>80</v>
      </c>
      <c r="C60" s="65" t="s">
        <v>81</v>
      </c>
      <c r="D60" s="35"/>
      <c r="E60" s="66"/>
      <c r="F60" s="66"/>
    </row>
    <row r="61" spans="1:7" ht="16.350000000000001" customHeight="1">
      <c r="B61" s="10" t="s">
        <v>3</v>
      </c>
      <c r="C61" s="65" t="s">
        <v>81</v>
      </c>
      <c r="D61" s="19"/>
      <c r="E61" s="68"/>
      <c r="F61" s="68"/>
    </row>
    <row r="62" spans="1:7" ht="16.350000000000001" customHeight="1">
      <c r="C62" s="65"/>
      <c r="D62" s="19"/>
    </row>
    <row r="63" spans="1:7" s="17" customFormat="1" ht="15.75" customHeight="1" thickBot="1">
      <c r="A63" s="3" t="s">
        <v>44</v>
      </c>
      <c r="B63" s="38"/>
      <c r="C63" s="61" t="s">
        <v>27</v>
      </c>
      <c r="D63" s="16" t="s">
        <v>28</v>
      </c>
      <c r="E63" s="62">
        <v>2022</v>
      </c>
      <c r="F63" s="63">
        <v>2023</v>
      </c>
      <c r="G63" s="62">
        <v>2024</v>
      </c>
    </row>
    <row r="64" spans="1:7" ht="16.350000000000001" customHeight="1">
      <c r="B64" s="18" t="s">
        <v>151</v>
      </c>
      <c r="C64" s="65" t="s">
        <v>81</v>
      </c>
      <c r="D64" s="19"/>
      <c r="E64" s="71">
        <v>291.399</v>
      </c>
      <c r="F64" s="71">
        <v>305.46699999999998</v>
      </c>
      <c r="G64" s="66">
        <v>386.68172306999998</v>
      </c>
    </row>
    <row r="65" spans="2:7" ht="16.350000000000001" customHeight="1">
      <c r="B65" s="18" t="s">
        <v>45</v>
      </c>
      <c r="C65" s="65" t="s">
        <v>81</v>
      </c>
      <c r="D65" s="19"/>
      <c r="E65" s="71">
        <v>0</v>
      </c>
      <c r="F65" s="71">
        <v>0</v>
      </c>
      <c r="G65" s="66">
        <v>0</v>
      </c>
    </row>
    <row r="66" spans="2:7" ht="16.350000000000001" customHeight="1">
      <c r="B66" s="8" t="s">
        <v>47</v>
      </c>
      <c r="C66" s="65" t="s">
        <v>81</v>
      </c>
      <c r="D66" s="19"/>
      <c r="E66" s="71">
        <v>0</v>
      </c>
      <c r="F66" s="71">
        <v>0</v>
      </c>
      <c r="G66" s="66">
        <v>0</v>
      </c>
    </row>
    <row r="67" spans="2:7" ht="16.350000000000001" customHeight="1">
      <c r="B67" s="8" t="s">
        <v>48</v>
      </c>
      <c r="C67" s="65" t="s">
        <v>81</v>
      </c>
      <c r="D67" s="19"/>
      <c r="E67" s="71">
        <v>-0.99</v>
      </c>
      <c r="F67" s="71">
        <v>-13.183</v>
      </c>
      <c r="G67" s="66">
        <v>-29.247334380000005</v>
      </c>
    </row>
    <row r="68" spans="2:7" ht="16.350000000000001" customHeight="1">
      <c r="B68" s="8" t="s">
        <v>49</v>
      </c>
      <c r="C68" s="65" t="s">
        <v>81</v>
      </c>
      <c r="D68" s="35"/>
      <c r="E68" s="71">
        <v>0</v>
      </c>
      <c r="F68" s="71">
        <v>0</v>
      </c>
      <c r="G68" s="66">
        <v>-10.32630122</v>
      </c>
    </row>
    <row r="69" spans="2:7" ht="16.350000000000001" customHeight="1">
      <c r="B69" s="8" t="s">
        <v>50</v>
      </c>
      <c r="C69" s="65" t="s">
        <v>81</v>
      </c>
      <c r="D69" s="19"/>
      <c r="E69" s="71">
        <v>-77.049000000000007</v>
      </c>
      <c r="F69" s="71">
        <v>-84.313999999999993</v>
      </c>
      <c r="G69" s="66">
        <v>-78.754590589999992</v>
      </c>
    </row>
    <row r="70" spans="2:7" ht="16.350000000000001" customHeight="1">
      <c r="B70" s="8" t="s">
        <v>51</v>
      </c>
      <c r="C70" s="65" t="s">
        <v>81</v>
      </c>
      <c r="D70" s="19"/>
      <c r="E70" s="71">
        <v>-56.36</v>
      </c>
      <c r="F70" s="71">
        <v>-23.024999999999999</v>
      </c>
      <c r="G70" s="66">
        <v>-9.1866907200000014</v>
      </c>
    </row>
    <row r="71" spans="2:7" ht="16.350000000000001" customHeight="1">
      <c r="B71" s="8" t="s">
        <v>14</v>
      </c>
      <c r="C71" s="65" t="s">
        <v>81</v>
      </c>
      <c r="D71" s="19"/>
      <c r="E71" s="71">
        <v>-103.669</v>
      </c>
      <c r="F71" s="71">
        <v>-132.77000000000001</v>
      </c>
      <c r="G71" s="66">
        <v>-155.91556751000002</v>
      </c>
    </row>
    <row r="72" spans="2:7" ht="16.350000000000001" customHeight="1">
      <c r="B72" s="8" t="s">
        <v>152</v>
      </c>
      <c r="C72" s="65" t="s">
        <v>81</v>
      </c>
      <c r="D72" s="19" t="s">
        <v>153</v>
      </c>
      <c r="E72" s="71">
        <v>-16.747</v>
      </c>
      <c r="F72" s="71">
        <v>-21.344000000000001</v>
      </c>
      <c r="G72" s="66">
        <v>-4.3220047299999997</v>
      </c>
    </row>
    <row r="73" spans="2:7" ht="16.350000000000001" customHeight="1">
      <c r="B73" s="8" t="s">
        <v>66</v>
      </c>
      <c r="C73" s="65" t="s">
        <v>81</v>
      </c>
      <c r="D73" s="19"/>
      <c r="E73" s="71">
        <v>36.584000000000003</v>
      </c>
      <c r="F73" s="71">
        <v>30.830999999999982</v>
      </c>
      <c r="G73" s="71">
        <v>98.929233919999945</v>
      </c>
    </row>
    <row r="74" spans="2:7" ht="16.350000000000001" customHeight="1">
      <c r="B74" s="8" t="s">
        <v>64</v>
      </c>
      <c r="C74" s="65" t="s">
        <v>81</v>
      </c>
      <c r="D74" s="19"/>
      <c r="E74" s="71">
        <v>-35.973999999999997</v>
      </c>
      <c r="F74" s="71">
        <v>-30.353999999999999</v>
      </c>
      <c r="G74" s="66">
        <v>-72.311482810000001</v>
      </c>
    </row>
    <row r="75" spans="2:7" ht="16.350000000000001" customHeight="1">
      <c r="B75" s="8" t="s">
        <v>65</v>
      </c>
      <c r="C75" s="65" t="s">
        <v>81</v>
      </c>
      <c r="D75" s="19"/>
      <c r="E75" s="71">
        <v>0</v>
      </c>
      <c r="F75" s="71">
        <v>0</v>
      </c>
      <c r="G75" s="67">
        <v>0</v>
      </c>
    </row>
    <row r="76" spans="2:7" ht="16.350000000000001" customHeight="1">
      <c r="B76" s="8" t="s">
        <v>67</v>
      </c>
      <c r="C76" s="65" t="s">
        <v>81</v>
      </c>
      <c r="D76" s="21"/>
      <c r="E76" s="71">
        <v>-35.973999999999997</v>
      </c>
      <c r="F76" s="71">
        <v>-30.353999999999999</v>
      </c>
      <c r="G76" s="71">
        <v>-72.311482810000001</v>
      </c>
    </row>
    <row r="77" spans="2:7" ht="16.350000000000001" customHeight="1">
      <c r="B77" s="8" t="s">
        <v>68</v>
      </c>
      <c r="C77" s="65" t="s">
        <v>81</v>
      </c>
      <c r="D77" s="35"/>
      <c r="E77" s="71">
        <v>0</v>
      </c>
      <c r="F77" s="71">
        <v>0</v>
      </c>
      <c r="G77" s="67">
        <v>0</v>
      </c>
    </row>
    <row r="78" spans="2:7" ht="16.350000000000001" customHeight="1">
      <c r="B78" s="8" t="s">
        <v>69</v>
      </c>
      <c r="C78" s="65" t="s">
        <v>81</v>
      </c>
      <c r="D78" s="19"/>
      <c r="E78" s="71">
        <v>0</v>
      </c>
      <c r="F78" s="71">
        <v>0</v>
      </c>
      <c r="G78" s="67">
        <v>0</v>
      </c>
    </row>
    <row r="79" spans="2:7" ht="16.350000000000001" customHeight="1">
      <c r="B79" s="29" t="s">
        <v>70</v>
      </c>
      <c r="C79" s="65" t="s">
        <v>81</v>
      </c>
      <c r="D79" s="19"/>
      <c r="E79" s="71">
        <v>0</v>
      </c>
      <c r="F79" s="71">
        <v>0</v>
      </c>
      <c r="G79" s="67">
        <v>0</v>
      </c>
    </row>
    <row r="80" spans="2:7" ht="16.350000000000001" customHeight="1">
      <c r="B80" s="10" t="s">
        <v>3</v>
      </c>
      <c r="C80" s="65" t="s">
        <v>81</v>
      </c>
      <c r="D80" s="19"/>
      <c r="E80" s="72">
        <v>0.61000000000000654</v>
      </c>
      <c r="F80" s="72">
        <v>0.47699999999998255</v>
      </c>
      <c r="G80" s="72">
        <v>26.617751109999944</v>
      </c>
    </row>
    <row r="81" spans="1:14" ht="16.350000000000001" customHeight="1">
      <c r="B81" s="15"/>
      <c r="C81" s="65"/>
      <c r="D81" s="19"/>
    </row>
    <row r="82" spans="1:14" s="17" customFormat="1" ht="15.75" customHeight="1" thickBot="1">
      <c r="A82" s="3" t="s">
        <v>94</v>
      </c>
      <c r="B82" s="41"/>
      <c r="C82" s="61" t="s">
        <v>27</v>
      </c>
      <c r="D82" s="16" t="s">
        <v>28</v>
      </c>
      <c r="E82" s="62">
        <v>2022</v>
      </c>
      <c r="F82" s="63">
        <v>2023</v>
      </c>
      <c r="G82" s="62">
        <v>2024</v>
      </c>
      <c r="H82" s="2"/>
      <c r="I82" s="1"/>
      <c r="J82" s="2"/>
      <c r="K82" s="1"/>
      <c r="L82" s="2"/>
      <c r="M82" s="1"/>
      <c r="N82" s="2"/>
    </row>
    <row r="83" spans="1:14" ht="16.350000000000001" customHeight="1">
      <c r="B83" s="42" t="s">
        <v>95</v>
      </c>
      <c r="C83" s="65" t="s">
        <v>93</v>
      </c>
      <c r="D83" s="19"/>
    </row>
    <row r="84" spans="1:14" ht="16.350000000000001" customHeight="1">
      <c r="B84" s="15"/>
      <c r="C84" s="65"/>
      <c r="D84" s="19"/>
    </row>
    <row r="85" spans="1:14" ht="16.350000000000001" customHeight="1">
      <c r="B85" s="15"/>
      <c r="C85" s="65"/>
      <c r="D85" s="19"/>
    </row>
    <row r="86" spans="1:14">
      <c r="B86" s="15"/>
      <c r="C86" s="65"/>
      <c r="D86" s="19"/>
    </row>
    <row r="87" spans="1:14">
      <c r="B87" s="15"/>
      <c r="C87" s="65"/>
      <c r="D87" s="19"/>
    </row>
    <row r="88" spans="1:14">
      <c r="B88" s="15"/>
      <c r="C88" s="65"/>
      <c r="D88" s="19"/>
    </row>
    <row r="89" spans="1:14">
      <c r="B89" s="15"/>
      <c r="C89" s="65"/>
      <c r="D89" s="19"/>
    </row>
    <row r="90" spans="1:14">
      <c r="B90" s="15"/>
      <c r="C90" s="65"/>
      <c r="D90" s="19"/>
    </row>
    <row r="91" spans="1:14">
      <c r="B91" s="15"/>
      <c r="C91" s="73"/>
      <c r="D91" s="35"/>
    </row>
    <row r="92" spans="1:14">
      <c r="B92" s="15"/>
      <c r="C92" s="65"/>
      <c r="D92" s="19"/>
    </row>
    <row r="93" spans="1:14">
      <c r="B93" s="15"/>
      <c r="C93" s="65"/>
      <c r="D93" s="19"/>
    </row>
    <row r="94" spans="1:14">
      <c r="B94" s="15"/>
      <c r="C94" s="65"/>
      <c r="D94" s="19"/>
    </row>
    <row r="95" spans="1:14">
      <c r="B95" s="15"/>
      <c r="C95" s="65"/>
      <c r="D95" s="19"/>
    </row>
    <row r="96" spans="1:14">
      <c r="B96" s="15"/>
      <c r="C96" s="65"/>
      <c r="D96" s="19"/>
    </row>
    <row r="97" spans="2:4">
      <c r="B97" s="15"/>
      <c r="C97" s="65"/>
      <c r="D97" s="19"/>
    </row>
    <row r="98" spans="2:4">
      <c r="B98" s="15"/>
      <c r="C98" s="74"/>
      <c r="D98" s="21"/>
    </row>
    <row r="99" spans="2:4">
      <c r="B99" s="15"/>
      <c r="C99" s="73"/>
      <c r="D99" s="35"/>
    </row>
    <row r="100" spans="2:4">
      <c r="C100" s="65"/>
      <c r="D100" s="19"/>
    </row>
    <row r="101" spans="2:4">
      <c r="C101" s="65"/>
      <c r="D101" s="19"/>
    </row>
    <row r="102" spans="2:4">
      <c r="C102" s="65"/>
      <c r="D102" s="19"/>
    </row>
    <row r="103" spans="2:4">
      <c r="C103" s="65"/>
      <c r="D103" s="19"/>
    </row>
    <row r="104" spans="2:4">
      <c r="C104" s="65"/>
      <c r="D104" s="19"/>
    </row>
    <row r="105" spans="2:4">
      <c r="C105" s="65"/>
      <c r="D105" s="19"/>
    </row>
    <row r="106" spans="2:4">
      <c r="C106" s="65"/>
      <c r="D106" s="19"/>
    </row>
    <row r="107" spans="2:4">
      <c r="C107" s="65"/>
      <c r="D107" s="19"/>
    </row>
    <row r="108" spans="2:4">
      <c r="C108" s="65"/>
      <c r="D108" s="19"/>
    </row>
    <row r="109" spans="2:4">
      <c r="C109" s="75"/>
      <c r="D109" s="43"/>
    </row>
    <row r="110" spans="2:4">
      <c r="C110" s="74"/>
      <c r="D110" s="21"/>
    </row>
    <row r="111" spans="2:4">
      <c r="C111" s="73"/>
      <c r="D111" s="35"/>
    </row>
    <row r="112" spans="2:4">
      <c r="C112" s="65"/>
      <c r="D112" s="19"/>
    </row>
    <row r="113" spans="3:4">
      <c r="C113" s="65"/>
      <c r="D113" s="19"/>
    </row>
    <row r="114" spans="3:4">
      <c r="C114" s="65"/>
      <c r="D114" s="19"/>
    </row>
    <row r="115" spans="3:4">
      <c r="C115" s="65"/>
      <c r="D115" s="19"/>
    </row>
    <row r="116" spans="3:4">
      <c r="C116" s="65"/>
      <c r="D116" s="19"/>
    </row>
    <row r="117" spans="3:4">
      <c r="C117" s="65"/>
      <c r="D117" s="19"/>
    </row>
    <row r="118" spans="3:4">
      <c r="C118" s="65"/>
      <c r="D118" s="19"/>
    </row>
    <row r="119" spans="3:4">
      <c r="C119" s="65"/>
      <c r="D119" s="19"/>
    </row>
    <row r="120" spans="3:4">
      <c r="C120" s="65"/>
      <c r="D120" s="19"/>
    </row>
    <row r="121" spans="3:4">
      <c r="C121" s="75"/>
      <c r="D121" s="43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59999389629810485"/>
  </sheetPr>
  <dimension ref="A1:Z114"/>
  <sheetViews>
    <sheetView zoomScale="80" zoomScaleNormal="80" workbookViewId="0">
      <selection activeCell="G64" sqref="G64"/>
    </sheetView>
  </sheetViews>
  <sheetFormatPr defaultColWidth="8" defaultRowHeight="12.75"/>
  <cols>
    <col min="1" max="1" width="8" style="7"/>
    <col min="2" max="2" width="95" style="22" customWidth="1"/>
    <col min="3" max="3" width="7.7109375" style="23" customWidth="1"/>
    <col min="4" max="4" width="21.7109375" style="23" bestFit="1" customWidth="1"/>
    <col min="5" max="6" width="8.5703125" style="7" bestFit="1" customWidth="1"/>
    <col min="7" max="7" width="9.5703125" style="7" bestFit="1" customWidth="1"/>
    <col min="8" max="10" width="8.5703125" style="7" bestFit="1" customWidth="1"/>
    <col min="11" max="12" width="8" style="7"/>
    <col min="13" max="13" width="10.7109375" style="7" bestFit="1" customWidth="1"/>
    <col min="14" max="16384" width="8" style="7"/>
  </cols>
  <sheetData>
    <row r="1" spans="1:10" s="17" customFormat="1" ht="15.75" customHeight="1" thickBot="1">
      <c r="A1" s="3" t="s">
        <v>86</v>
      </c>
      <c r="B1" s="5"/>
      <c r="C1" s="16" t="s">
        <v>27</v>
      </c>
      <c r="D1" s="16" t="s">
        <v>28</v>
      </c>
      <c r="E1" s="63" t="s">
        <v>154</v>
      </c>
      <c r="F1" s="62" t="s">
        <v>96</v>
      </c>
      <c r="G1" s="63" t="s">
        <v>155</v>
      </c>
      <c r="H1" s="62" t="s">
        <v>98</v>
      </c>
      <c r="I1" s="63" t="s">
        <v>156</v>
      </c>
      <c r="J1" s="62" t="s">
        <v>99</v>
      </c>
    </row>
    <row r="2" spans="1:10" ht="16.350000000000001" customHeight="1">
      <c r="B2" s="18" t="s">
        <v>11</v>
      </c>
      <c r="C2" s="19" t="s">
        <v>81</v>
      </c>
      <c r="D2" s="19"/>
      <c r="E2" s="9">
        <v>258.64205043999999</v>
      </c>
      <c r="F2" s="9">
        <v>274.18277876999997</v>
      </c>
      <c r="G2" s="9">
        <v>303.72214509000003</v>
      </c>
      <c r="H2" s="9">
        <v>316.95581762999996</v>
      </c>
      <c r="I2" s="9">
        <v>332.06409995000001</v>
      </c>
      <c r="J2" s="9">
        <v>410.62872204000001</v>
      </c>
    </row>
    <row r="3" spans="1:10" ht="16.350000000000001" customHeight="1">
      <c r="B3" s="18" t="s">
        <v>12</v>
      </c>
      <c r="C3" s="19" t="s">
        <v>81</v>
      </c>
      <c r="D3" s="19"/>
      <c r="E3" s="9">
        <v>0</v>
      </c>
      <c r="F3" s="9">
        <v>0</v>
      </c>
      <c r="G3" s="9">
        <v>0</v>
      </c>
      <c r="H3" s="9">
        <v>0</v>
      </c>
      <c r="I3" s="9">
        <v>0</v>
      </c>
      <c r="J3" s="9">
        <v>0</v>
      </c>
    </row>
    <row r="4" spans="1:10" ht="16.350000000000001" customHeight="1">
      <c r="B4" s="8" t="s">
        <v>10</v>
      </c>
      <c r="C4" s="19" t="s">
        <v>81</v>
      </c>
      <c r="D4" s="19"/>
      <c r="E4" s="9">
        <v>-97.700236229999973</v>
      </c>
      <c r="F4" s="9">
        <v>-128.50497001999997</v>
      </c>
      <c r="G4" s="9">
        <v>-108.66187489999999</v>
      </c>
      <c r="H4" s="9">
        <v>-127.63475908999999</v>
      </c>
      <c r="I4" s="9">
        <v>-114.94554148999998</v>
      </c>
      <c r="J4" s="9">
        <v>-124.42257551000003</v>
      </c>
    </row>
    <row r="5" spans="1:10" ht="16.350000000000001" customHeight="1">
      <c r="B5" s="8" t="s">
        <v>13</v>
      </c>
      <c r="C5" s="19" t="s">
        <v>81</v>
      </c>
      <c r="D5" s="19"/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</row>
    <row r="6" spans="1:10" ht="16.350000000000001" customHeight="1">
      <c r="B6" s="36" t="s">
        <v>15</v>
      </c>
      <c r="C6" s="19" t="s">
        <v>81</v>
      </c>
      <c r="D6" s="19"/>
      <c r="E6" s="11">
        <v>160.94181421000002</v>
      </c>
      <c r="F6" s="11">
        <v>145.67780875</v>
      </c>
      <c r="G6" s="11">
        <v>195.06027019000004</v>
      </c>
      <c r="H6" s="11">
        <v>189.32105853999997</v>
      </c>
      <c r="I6" s="11">
        <v>217.11855846000003</v>
      </c>
      <c r="J6" s="11">
        <v>286.20614652999996</v>
      </c>
    </row>
    <row r="7" spans="1:10" ht="16.350000000000001" customHeight="1">
      <c r="B7" s="8" t="s">
        <v>5</v>
      </c>
      <c r="C7" s="19" t="s">
        <v>81</v>
      </c>
      <c r="D7" s="19"/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ht="16.350000000000001" customHeight="1">
      <c r="B8" s="8" t="s">
        <v>8</v>
      </c>
      <c r="C8" s="19" t="s">
        <v>81</v>
      </c>
      <c r="D8" s="19"/>
      <c r="E8" s="9">
        <v>0</v>
      </c>
      <c r="F8" s="9">
        <v>-182.92385822</v>
      </c>
      <c r="G8" s="9">
        <v>0</v>
      </c>
      <c r="H8" s="9">
        <v>-64.640090520000001</v>
      </c>
      <c r="I8" s="9">
        <v>-51.487228000000002</v>
      </c>
      <c r="J8" s="9">
        <v>-55.213285729999996</v>
      </c>
    </row>
    <row r="9" spans="1:10" ht="16.350000000000001" customHeight="1">
      <c r="B9" s="8" t="s">
        <v>16</v>
      </c>
      <c r="C9" s="19" t="s">
        <v>81</v>
      </c>
      <c r="D9" s="19"/>
      <c r="E9" s="9">
        <v>160.94181421000002</v>
      </c>
      <c r="F9" s="9">
        <v>-37.246049470000003</v>
      </c>
      <c r="G9" s="9">
        <v>195.06027019000004</v>
      </c>
      <c r="H9" s="9">
        <v>124.68096801999997</v>
      </c>
      <c r="I9" s="9">
        <v>165.63133046000002</v>
      </c>
      <c r="J9" s="9">
        <v>230.99286079999996</v>
      </c>
    </row>
    <row r="10" spans="1:10" ht="16.350000000000001" customHeight="1">
      <c r="B10" s="8" t="s">
        <v>6</v>
      </c>
      <c r="C10" s="19" t="s">
        <v>81</v>
      </c>
      <c r="D10" s="19"/>
      <c r="E10" s="9">
        <v>-144.77792997</v>
      </c>
      <c r="F10" s="9">
        <v>-140.45841261999999</v>
      </c>
      <c r="G10" s="9">
        <v>-148.71148302</v>
      </c>
      <c r="H10" s="9">
        <v>-144.33007735999999</v>
      </c>
      <c r="I10" s="9">
        <v>-134.53733893999998</v>
      </c>
      <c r="J10" s="9">
        <v>-201.11088065000001</v>
      </c>
    </row>
    <row r="11" spans="1:10" ht="16.350000000000001" customHeight="1">
      <c r="B11" s="8" t="s">
        <v>18</v>
      </c>
      <c r="C11" s="19" t="s">
        <v>81</v>
      </c>
      <c r="D11" s="19"/>
      <c r="E11" s="9">
        <v>16.163884240000016</v>
      </c>
      <c r="F11" s="9">
        <v>-177.70446208999999</v>
      </c>
      <c r="G11" s="9">
        <v>46.348787170000037</v>
      </c>
      <c r="H11" s="9">
        <v>-19.649109340000024</v>
      </c>
      <c r="I11" s="9">
        <v>31.093991520000031</v>
      </c>
      <c r="J11" s="9">
        <v>29.881980149999947</v>
      </c>
    </row>
    <row r="12" spans="1:10" ht="16.350000000000001" customHeight="1">
      <c r="B12" s="8" t="s">
        <v>7</v>
      </c>
      <c r="C12" s="19" t="s">
        <v>81</v>
      </c>
      <c r="D12" s="19"/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ht="16.350000000000001" customHeight="1">
      <c r="B13" s="8" t="s">
        <v>14</v>
      </c>
      <c r="C13" s="19" t="s">
        <v>81</v>
      </c>
      <c r="D13" s="19"/>
      <c r="E13" s="9">
        <v>-5.8543055299999995</v>
      </c>
      <c r="F13" s="9">
        <v>17.138263340000002</v>
      </c>
      <c r="G13" s="9">
        <v>-10.374370630000001</v>
      </c>
      <c r="H13" s="9">
        <v>-2.6605914000000008</v>
      </c>
      <c r="I13" s="9">
        <v>-13.352480999999999</v>
      </c>
      <c r="J13" s="9">
        <v>-7.60002684</v>
      </c>
    </row>
    <row r="14" spans="1:10" ht="16.350000000000001" customHeight="1">
      <c r="B14" s="36" t="s">
        <v>84</v>
      </c>
      <c r="C14" s="19" t="s">
        <v>81</v>
      </c>
      <c r="D14" s="19"/>
      <c r="E14" s="11">
        <v>10.309578710000011</v>
      </c>
      <c r="F14" s="11">
        <v>-160.56619874999998</v>
      </c>
      <c r="G14" s="11">
        <v>35.97441654000005</v>
      </c>
      <c r="H14" s="11">
        <v>-22.309700740000025</v>
      </c>
      <c r="I14" s="11">
        <v>17.74151052000002</v>
      </c>
      <c r="J14" s="11">
        <v>22.281953309999949</v>
      </c>
    </row>
    <row r="15" spans="1:10" ht="16.350000000000001" customHeight="1">
      <c r="B15" s="15"/>
      <c r="C15" s="19"/>
      <c r="D15" s="19"/>
    </row>
    <row r="16" spans="1:10" s="17" customFormat="1" ht="15.75" customHeight="1" thickBot="1">
      <c r="A16" s="3" t="s">
        <v>85</v>
      </c>
      <c r="B16" s="5"/>
      <c r="C16" s="16" t="s">
        <v>27</v>
      </c>
      <c r="D16" s="16" t="s">
        <v>28</v>
      </c>
      <c r="E16" s="1" t="s">
        <v>154</v>
      </c>
      <c r="F16" s="2" t="s">
        <v>96</v>
      </c>
      <c r="G16" s="1" t="s">
        <v>155</v>
      </c>
      <c r="H16" s="2" t="s">
        <v>98</v>
      </c>
      <c r="I16" s="1" t="s">
        <v>156</v>
      </c>
      <c r="J16" s="2" t="s">
        <v>99</v>
      </c>
    </row>
    <row r="17" spans="1:26" ht="16.350000000000001" customHeight="1">
      <c r="B17" s="8" t="s">
        <v>37</v>
      </c>
      <c r="C17" s="19" t="s">
        <v>81</v>
      </c>
      <c r="D17" s="35"/>
      <c r="E17" s="9">
        <v>32.989020019999998</v>
      </c>
      <c r="F17" s="9">
        <v>34.223999999999997</v>
      </c>
      <c r="G17" s="9">
        <v>38.303842809999999</v>
      </c>
      <c r="H17" s="9">
        <v>47.384999999999998</v>
      </c>
      <c r="I17" s="9">
        <v>62.687919999999998</v>
      </c>
      <c r="J17" s="9">
        <v>68.683414970000001</v>
      </c>
      <c r="M17" s="37"/>
    </row>
    <row r="18" spans="1:26" ht="16.350000000000001" customHeight="1">
      <c r="B18" s="8" t="s">
        <v>33</v>
      </c>
      <c r="C18" s="19" t="s">
        <v>81</v>
      </c>
      <c r="D18" s="19"/>
      <c r="E18" s="9">
        <v>558.27132777999998</v>
      </c>
      <c r="F18" s="9">
        <v>362.791</v>
      </c>
      <c r="G18" s="9">
        <v>716.92023073000007</v>
      </c>
      <c r="H18" s="9">
        <v>586.79499999999996</v>
      </c>
      <c r="I18" s="9">
        <v>698.78760899999997</v>
      </c>
      <c r="J18" s="9">
        <v>824.84828887000003</v>
      </c>
    </row>
    <row r="19" spans="1:26" ht="16.350000000000001" customHeight="1">
      <c r="B19" s="8" t="s">
        <v>38</v>
      </c>
      <c r="C19" s="19" t="s">
        <v>81</v>
      </c>
      <c r="D19" s="19"/>
      <c r="E19" s="9">
        <v>14.69021117</v>
      </c>
      <c r="F19" s="9">
        <v>6.0270000000000001</v>
      </c>
      <c r="G19" s="9">
        <v>3.1407420000000012E-2</v>
      </c>
      <c r="H19" s="9">
        <v>10.955</v>
      </c>
      <c r="I19" s="9">
        <v>10.173969</v>
      </c>
      <c r="J19" s="9">
        <v>1.75531595</v>
      </c>
    </row>
    <row r="20" spans="1:26" ht="16.350000000000001" customHeight="1">
      <c r="B20" s="8" t="s">
        <v>39</v>
      </c>
      <c r="C20" s="19" t="s">
        <v>81</v>
      </c>
      <c r="D20" s="19"/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</row>
    <row r="21" spans="1:26" ht="16.350000000000001" customHeight="1">
      <c r="B21" s="8" t="s">
        <v>40</v>
      </c>
      <c r="C21" s="19" t="s">
        <v>81</v>
      </c>
      <c r="D21" s="19"/>
      <c r="E21" s="9">
        <v>10.682940820000001</v>
      </c>
      <c r="F21" s="9">
        <v>5.8540000000000001</v>
      </c>
      <c r="G21" s="9">
        <v>0.98371976999999999</v>
      </c>
      <c r="H21" s="9">
        <v>7.2439999999999998</v>
      </c>
      <c r="I21" s="9">
        <v>7.6475090000000003</v>
      </c>
      <c r="J21" s="9">
        <v>33.861322260000001</v>
      </c>
    </row>
    <row r="22" spans="1:26" ht="16.350000000000001" customHeight="1">
      <c r="B22" s="36" t="s">
        <v>42</v>
      </c>
      <c r="C22" s="19" t="s">
        <v>81</v>
      </c>
      <c r="D22" s="19"/>
      <c r="E22" s="11">
        <v>616.63349978999997</v>
      </c>
      <c r="F22" s="11">
        <v>408.89599999999996</v>
      </c>
      <c r="G22" s="11">
        <v>756.23920073000011</v>
      </c>
      <c r="H22" s="11">
        <v>652.37900000000002</v>
      </c>
      <c r="I22" s="11">
        <v>779.29700700000001</v>
      </c>
      <c r="J22" s="11">
        <v>929.14834205</v>
      </c>
    </row>
    <row r="23" spans="1:26" ht="16.350000000000001" customHeight="1">
      <c r="B23" s="27"/>
      <c r="C23" s="19"/>
      <c r="D23" s="19"/>
      <c r="E23" s="11"/>
      <c r="F23" s="11"/>
      <c r="G23" s="11"/>
      <c r="H23" s="11"/>
    </row>
    <row r="24" spans="1:26" s="17" customFormat="1" ht="15.75" customHeight="1" thickBot="1">
      <c r="A24" s="3" t="s">
        <v>73</v>
      </c>
      <c r="B24" s="5"/>
      <c r="C24" s="16" t="s">
        <v>27</v>
      </c>
      <c r="D24" s="16" t="s">
        <v>28</v>
      </c>
      <c r="E24" s="1" t="s">
        <v>154</v>
      </c>
      <c r="F24" s="2" t="s">
        <v>96</v>
      </c>
      <c r="G24" s="1" t="s">
        <v>155</v>
      </c>
      <c r="H24" s="2" t="s">
        <v>98</v>
      </c>
      <c r="I24" s="1" t="s">
        <v>156</v>
      </c>
      <c r="J24" s="2" t="s">
        <v>99</v>
      </c>
    </row>
    <row r="25" spans="1:26" ht="16.350000000000001" customHeight="1">
      <c r="B25" s="18" t="s">
        <v>150</v>
      </c>
      <c r="C25" s="19" t="s">
        <v>81</v>
      </c>
      <c r="D25" s="19"/>
      <c r="E25" s="9">
        <v>699.29927080999994</v>
      </c>
      <c r="F25" s="9">
        <v>567.82640715999992</v>
      </c>
      <c r="G25" s="9">
        <v>739.10903771000005</v>
      </c>
      <c r="H25" s="9">
        <v>856.44115178999994</v>
      </c>
      <c r="I25" s="9">
        <v>1019.9207140499999</v>
      </c>
      <c r="J25" s="9">
        <v>1171.2465788299999</v>
      </c>
    </row>
    <row r="26" spans="1:26" ht="16.350000000000001" customHeight="1">
      <c r="B26" s="8" t="s">
        <v>157</v>
      </c>
      <c r="C26" s="19" t="s">
        <v>81</v>
      </c>
      <c r="D26" s="19"/>
      <c r="E26" s="9"/>
      <c r="F26" s="9"/>
      <c r="G26" s="9"/>
      <c r="H26" s="9"/>
      <c r="I26" s="9"/>
      <c r="J26" s="9">
        <v>29.931700469999999</v>
      </c>
    </row>
    <row r="27" spans="1:26" ht="16.350000000000001" customHeight="1">
      <c r="B27" s="18" t="s">
        <v>76</v>
      </c>
      <c r="C27" s="19" t="s">
        <v>81</v>
      </c>
      <c r="D27" s="21"/>
      <c r="E27" s="9"/>
      <c r="F27" s="9"/>
      <c r="G27" s="9"/>
      <c r="H27" s="9"/>
      <c r="I27" s="9"/>
      <c r="J27" s="9"/>
    </row>
    <row r="28" spans="1:26" ht="16.350000000000001" customHeight="1">
      <c r="B28" s="18" t="s">
        <v>77</v>
      </c>
      <c r="C28" s="19" t="s">
        <v>81</v>
      </c>
      <c r="D28" s="35"/>
      <c r="E28" s="9"/>
      <c r="F28" s="9"/>
      <c r="G28" s="9"/>
      <c r="H28" s="9"/>
      <c r="I28" s="9"/>
      <c r="J28" s="9"/>
    </row>
    <row r="29" spans="1:26" ht="16.350000000000001" customHeight="1">
      <c r="B29" s="8" t="s">
        <v>78</v>
      </c>
      <c r="C29" s="19" t="s">
        <v>81</v>
      </c>
      <c r="D29" s="35"/>
      <c r="E29" s="9"/>
      <c r="F29" s="9"/>
      <c r="G29" s="9"/>
      <c r="H29" s="9"/>
      <c r="I29" s="9"/>
      <c r="J29" s="9"/>
    </row>
    <row r="30" spans="1:26" ht="16.350000000000001" customHeight="1">
      <c r="B30" s="8" t="s">
        <v>80</v>
      </c>
      <c r="C30" s="19" t="s">
        <v>81</v>
      </c>
      <c r="D30" s="35"/>
      <c r="E30" s="9"/>
      <c r="F30" s="9"/>
      <c r="G30" s="9"/>
      <c r="H30" s="9"/>
      <c r="I30" s="9"/>
      <c r="J30" s="9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16.350000000000001" customHeight="1">
      <c r="B31" s="10" t="s">
        <v>0</v>
      </c>
      <c r="C31" s="19" t="s">
        <v>81</v>
      </c>
      <c r="D31" s="19"/>
      <c r="E31" s="11"/>
      <c r="F31" s="11"/>
      <c r="G31" s="11"/>
      <c r="H31" s="11"/>
      <c r="I31" s="11"/>
      <c r="J31" s="11"/>
    </row>
    <row r="32" spans="1:26" ht="16.350000000000001" customHeight="1">
      <c r="B32" s="27"/>
      <c r="C32" s="19"/>
      <c r="D32" s="19"/>
      <c r="E32" s="12"/>
      <c r="F32" s="12"/>
      <c r="G32" s="12"/>
      <c r="H32" s="12"/>
      <c r="I32" s="12"/>
      <c r="J32" s="12"/>
    </row>
    <row r="33" spans="1:13" s="17" customFormat="1" ht="15.75" customHeight="1" thickBot="1">
      <c r="A33" s="3" t="s">
        <v>52</v>
      </c>
      <c r="B33" s="5"/>
      <c r="C33" s="16" t="s">
        <v>27</v>
      </c>
      <c r="D33" s="16" t="s">
        <v>28</v>
      </c>
      <c r="E33" s="1" t="s">
        <v>154</v>
      </c>
      <c r="F33" s="2" t="s">
        <v>96</v>
      </c>
      <c r="G33" s="1" t="s">
        <v>155</v>
      </c>
      <c r="H33" s="2" t="s">
        <v>98</v>
      </c>
      <c r="I33" s="1" t="s">
        <v>156</v>
      </c>
      <c r="J33" s="2" t="s">
        <v>99</v>
      </c>
    </row>
    <row r="34" spans="1:13" ht="16.350000000000001" customHeight="1">
      <c r="B34" s="18" t="s">
        <v>53</v>
      </c>
      <c r="C34" s="19" t="s">
        <v>81</v>
      </c>
      <c r="D34" s="19"/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</row>
    <row r="35" spans="1:13" ht="16.350000000000001" customHeight="1">
      <c r="B35" s="8" t="s">
        <v>54</v>
      </c>
      <c r="C35" s="19" t="s">
        <v>81</v>
      </c>
      <c r="D35" s="19"/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3" ht="16.350000000000001" customHeight="1">
      <c r="B36" s="8" t="s">
        <v>55</v>
      </c>
      <c r="C36" s="19" t="s">
        <v>81</v>
      </c>
      <c r="D36" s="19"/>
      <c r="E36" s="9">
        <v>252.07573400000001</v>
      </c>
      <c r="F36" s="9">
        <v>185.815</v>
      </c>
      <c r="G36" s="9">
        <v>225.23485686000001</v>
      </c>
      <c r="H36" s="9">
        <v>207.40799999999999</v>
      </c>
      <c r="I36" s="9">
        <v>207.40668700000001</v>
      </c>
      <c r="J36" s="9">
        <v>190.905263600334</v>
      </c>
    </row>
    <row r="37" spans="1:13" ht="16.350000000000001" customHeight="1">
      <c r="B37" s="34" t="s">
        <v>56</v>
      </c>
      <c r="C37" s="19" t="s">
        <v>81</v>
      </c>
      <c r="D37" s="19"/>
      <c r="E37" s="9">
        <v>252.07573400000001</v>
      </c>
      <c r="F37" s="9">
        <v>185.815</v>
      </c>
      <c r="G37" s="9">
        <v>225.23485686000001</v>
      </c>
      <c r="H37" s="9">
        <v>207.40799999999999</v>
      </c>
      <c r="I37" s="9">
        <v>207.40668700000001</v>
      </c>
      <c r="J37" s="9">
        <v>190.905263600334</v>
      </c>
    </row>
    <row r="38" spans="1:13" ht="16.350000000000001" customHeight="1">
      <c r="B38" s="8" t="s">
        <v>57</v>
      </c>
      <c r="C38" s="19" t="s">
        <v>81</v>
      </c>
      <c r="D38" s="19"/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</row>
    <row r="39" spans="1:13" ht="16.350000000000001" customHeight="1">
      <c r="B39" s="8" t="s">
        <v>58</v>
      </c>
      <c r="C39" s="19" t="s">
        <v>81</v>
      </c>
      <c r="D39" s="21"/>
      <c r="E39" s="9">
        <v>94.836658439999994</v>
      </c>
      <c r="F39" s="9">
        <v>19.917999999999999</v>
      </c>
      <c r="G39" s="9">
        <v>37.813457060000005</v>
      </c>
      <c r="H39" s="9">
        <v>17.056999999999999</v>
      </c>
      <c r="I39" s="9">
        <v>31.737051999999998</v>
      </c>
      <c r="J39" s="9">
        <v>10.67687158</v>
      </c>
      <c r="M39" s="37"/>
    </row>
    <row r="40" spans="1:13" ht="16.350000000000001" customHeight="1">
      <c r="B40" s="8" t="s">
        <v>59</v>
      </c>
      <c r="C40" s="19" t="s">
        <v>81</v>
      </c>
      <c r="D40" s="35"/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3" ht="16.350000000000001" customHeight="1">
      <c r="B41" s="8" t="s">
        <v>61</v>
      </c>
      <c r="C41" s="19" t="s">
        <v>81</v>
      </c>
      <c r="D41" s="19"/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3" ht="16.350000000000001" customHeight="1">
      <c r="B42" s="8" t="s">
        <v>60</v>
      </c>
      <c r="C42" s="19" t="s">
        <v>81</v>
      </c>
      <c r="D42" s="19"/>
      <c r="E42" s="9">
        <v>47.628997499999997</v>
      </c>
      <c r="F42" s="9">
        <v>51.305</v>
      </c>
      <c r="G42" s="9">
        <v>17.578222620000005</v>
      </c>
      <c r="H42" s="9">
        <v>37.210999999999999</v>
      </c>
      <c r="I42" s="9">
        <v>15.865252999999999</v>
      </c>
      <c r="J42" s="9">
        <v>18.998587539999999</v>
      </c>
    </row>
    <row r="43" spans="1:13" ht="16.350000000000001" customHeight="1">
      <c r="B43" s="8" t="s">
        <v>62</v>
      </c>
      <c r="C43" s="19" t="s">
        <v>81</v>
      </c>
      <c r="D43" s="19"/>
      <c r="E43" s="9">
        <v>9.45181921</v>
      </c>
      <c r="F43" s="9">
        <v>9.1920000000000002</v>
      </c>
      <c r="G43" s="9">
        <v>12.48754166</v>
      </c>
      <c r="H43" s="9">
        <v>14.286</v>
      </c>
      <c r="I43" s="9">
        <v>12.329288</v>
      </c>
      <c r="J43" s="9">
        <v>12.852861460000002</v>
      </c>
    </row>
    <row r="44" spans="1:13" ht="16.350000000000001" customHeight="1">
      <c r="B44" s="34" t="s">
        <v>63</v>
      </c>
      <c r="C44" s="19" t="s">
        <v>81</v>
      </c>
      <c r="D44" s="19"/>
      <c r="E44" s="9">
        <v>151.91747514999997</v>
      </c>
      <c r="F44" s="9">
        <v>80.414999999999992</v>
      </c>
      <c r="G44" s="9">
        <v>67.879221340000015</v>
      </c>
      <c r="H44" s="9">
        <v>68.554000000000002</v>
      </c>
      <c r="I44" s="9">
        <v>59.931592999999999</v>
      </c>
      <c r="J44" s="9">
        <v>42.528320579999999</v>
      </c>
    </row>
    <row r="45" spans="1:13" ht="16.350000000000001" customHeight="1">
      <c r="B45" s="10" t="s">
        <v>87</v>
      </c>
      <c r="C45" s="19" t="s">
        <v>81</v>
      </c>
      <c r="D45" s="19"/>
      <c r="E45" s="11">
        <v>403.99320914999998</v>
      </c>
      <c r="F45" s="11">
        <v>266.23</v>
      </c>
      <c r="G45" s="11">
        <v>293.11407819999999</v>
      </c>
      <c r="H45" s="11">
        <v>275.96199999999999</v>
      </c>
      <c r="I45" s="11">
        <v>267.33828</v>
      </c>
      <c r="J45" s="11">
        <v>233.43358418033398</v>
      </c>
    </row>
    <row r="46" spans="1:13" ht="16.350000000000001" customHeight="1">
      <c r="B46" s="27"/>
      <c r="C46" s="19"/>
      <c r="D46" s="19"/>
      <c r="E46" s="11"/>
      <c r="F46" s="11"/>
      <c r="G46" s="11"/>
      <c r="H46" s="11"/>
    </row>
    <row r="47" spans="1:13" s="17" customFormat="1" ht="15.75" customHeight="1" thickBot="1">
      <c r="A47" s="3" t="s">
        <v>79</v>
      </c>
      <c r="B47" s="5"/>
      <c r="C47" s="16" t="s">
        <v>27</v>
      </c>
      <c r="D47" s="16" t="s">
        <v>28</v>
      </c>
      <c r="E47" s="1" t="s">
        <v>154</v>
      </c>
      <c r="F47" s="2" t="s">
        <v>96</v>
      </c>
      <c r="G47" s="1" t="s">
        <v>155</v>
      </c>
      <c r="H47" s="2" t="s">
        <v>98</v>
      </c>
      <c r="I47" s="1" t="s">
        <v>156</v>
      </c>
      <c r="J47" s="2" t="s">
        <v>99</v>
      </c>
    </row>
    <row r="48" spans="1:13" ht="16.350000000000001" customHeight="1">
      <c r="B48" s="18" t="s">
        <v>74</v>
      </c>
      <c r="C48" s="19" t="s">
        <v>81</v>
      </c>
      <c r="D48" s="19"/>
      <c r="E48" s="9"/>
      <c r="F48" s="9"/>
      <c r="G48" s="9"/>
      <c r="H48" s="9"/>
      <c r="I48" s="9"/>
      <c r="J48" s="9"/>
    </row>
    <row r="49" spans="1:26" ht="16.350000000000001" customHeight="1">
      <c r="B49" s="8" t="s">
        <v>75</v>
      </c>
      <c r="C49" s="19" t="s">
        <v>81</v>
      </c>
      <c r="D49" s="19"/>
      <c r="E49" s="9"/>
      <c r="F49" s="9"/>
      <c r="G49" s="9"/>
      <c r="H49" s="9"/>
      <c r="I49" s="9"/>
      <c r="J49" s="9"/>
    </row>
    <row r="50" spans="1:26" ht="16.350000000000001" customHeight="1">
      <c r="B50" s="18" t="s">
        <v>76</v>
      </c>
      <c r="C50" s="19" t="s">
        <v>81</v>
      </c>
      <c r="D50" s="21"/>
      <c r="E50" s="9"/>
      <c r="F50" s="9"/>
      <c r="G50" s="9"/>
      <c r="H50" s="9"/>
      <c r="I50" s="9"/>
      <c r="J50" s="9"/>
    </row>
    <row r="51" spans="1:26" ht="16.350000000000001" customHeight="1">
      <c r="B51" s="18" t="s">
        <v>77</v>
      </c>
      <c r="C51" s="19" t="s">
        <v>81</v>
      </c>
      <c r="D51" s="35"/>
      <c r="E51" s="9"/>
      <c r="F51" s="9"/>
      <c r="G51" s="9"/>
      <c r="H51" s="9"/>
      <c r="I51" s="9"/>
      <c r="J51" s="9"/>
    </row>
    <row r="52" spans="1:26" ht="16.350000000000001" customHeight="1">
      <c r="B52" s="8" t="s">
        <v>78</v>
      </c>
      <c r="C52" s="19" t="s">
        <v>81</v>
      </c>
      <c r="D52" s="35"/>
      <c r="E52" s="9"/>
      <c r="F52" s="9"/>
      <c r="G52" s="9"/>
      <c r="H52" s="9"/>
      <c r="I52" s="9"/>
      <c r="J52" s="9"/>
    </row>
    <row r="53" spans="1:26" ht="16.350000000000001" customHeight="1">
      <c r="B53" s="8" t="s">
        <v>80</v>
      </c>
      <c r="C53" s="19" t="s">
        <v>81</v>
      </c>
      <c r="D53" s="35"/>
      <c r="E53" s="9"/>
      <c r="F53" s="9"/>
      <c r="G53" s="9"/>
      <c r="H53" s="9"/>
      <c r="I53" s="9"/>
      <c r="J53" s="9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6.350000000000001" customHeight="1">
      <c r="B54" s="10" t="s">
        <v>0</v>
      </c>
      <c r="C54" s="19" t="s">
        <v>81</v>
      </c>
      <c r="D54" s="19"/>
      <c r="E54" s="11"/>
      <c r="F54" s="11"/>
      <c r="G54" s="11"/>
      <c r="H54" s="11"/>
      <c r="I54" s="11"/>
      <c r="J54" s="11"/>
    </row>
    <row r="55" spans="1:26" ht="16.350000000000001" customHeight="1">
      <c r="C55" s="19"/>
      <c r="D55" s="19"/>
    </row>
    <row r="56" spans="1:26" s="17" customFormat="1" ht="15.75" customHeight="1" thickBot="1">
      <c r="A56" s="3" t="s">
        <v>44</v>
      </c>
      <c r="B56" s="38"/>
      <c r="C56" s="16" t="s">
        <v>27</v>
      </c>
      <c r="D56" s="16" t="s">
        <v>28</v>
      </c>
      <c r="E56" s="1" t="s">
        <v>154</v>
      </c>
      <c r="F56" s="2" t="s">
        <v>96</v>
      </c>
      <c r="G56" s="1" t="s">
        <v>155</v>
      </c>
      <c r="H56" s="2" t="s">
        <v>98</v>
      </c>
      <c r="I56" s="1" t="s">
        <v>156</v>
      </c>
      <c r="J56" s="2" t="s">
        <v>99</v>
      </c>
      <c r="K56" s="1"/>
      <c r="L56" s="2"/>
      <c r="M56" s="1"/>
      <c r="N56" s="2"/>
    </row>
    <row r="57" spans="1:26" ht="16.350000000000001" customHeight="1">
      <c r="B57" s="18" t="s">
        <v>45</v>
      </c>
      <c r="C57" s="19" t="s">
        <v>81</v>
      </c>
      <c r="D57" s="19"/>
      <c r="E57" s="39">
        <v>111.05675017999999</v>
      </c>
      <c r="F57" s="39">
        <v>180.25561319000002</v>
      </c>
      <c r="G57" s="39">
        <v>131.98556001999998</v>
      </c>
      <c r="H57" s="39">
        <v>173.48185561</v>
      </c>
      <c r="I57" s="39">
        <v>174.53970161000001</v>
      </c>
      <c r="J57" s="39">
        <v>212.14202146</v>
      </c>
    </row>
    <row r="58" spans="1:26" ht="16.350000000000001" customHeight="1">
      <c r="B58" s="8" t="s">
        <v>46</v>
      </c>
      <c r="C58" s="19" t="s">
        <v>81</v>
      </c>
      <c r="D58" s="19"/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</row>
    <row r="59" spans="1:26" ht="16.350000000000001" customHeight="1">
      <c r="B59" s="8" t="s">
        <v>47</v>
      </c>
      <c r="C59" s="19" t="s">
        <v>81</v>
      </c>
      <c r="D59" s="19"/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</row>
    <row r="60" spans="1:26" ht="16.350000000000001" customHeight="1">
      <c r="B60" s="8" t="s">
        <v>48</v>
      </c>
      <c r="C60" s="19" t="s">
        <v>81</v>
      </c>
      <c r="D60" s="19"/>
      <c r="E60" s="39">
        <v>-0.25190091999999997</v>
      </c>
      <c r="F60" s="39">
        <v>-0.73794517999999998</v>
      </c>
      <c r="G60" s="39">
        <v>-1.30453934</v>
      </c>
      <c r="H60" s="39">
        <v>-11.512441129999999</v>
      </c>
      <c r="I60" s="39">
        <v>-13.286652480000001</v>
      </c>
      <c r="J60" s="39">
        <v>-15.960681900000003</v>
      </c>
    </row>
    <row r="61" spans="1:26" ht="16.350000000000001" customHeight="1">
      <c r="B61" s="8" t="s">
        <v>49</v>
      </c>
      <c r="C61" s="19" t="s">
        <v>81</v>
      </c>
      <c r="D61" s="35"/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-10.32630122</v>
      </c>
    </row>
    <row r="62" spans="1:26" ht="16.350000000000001" customHeight="1">
      <c r="B62" s="8" t="s">
        <v>50</v>
      </c>
      <c r="C62" s="19" t="s">
        <v>81</v>
      </c>
      <c r="D62" s="19"/>
      <c r="E62" s="39">
        <v>-37.489427559999996</v>
      </c>
      <c r="F62" s="39">
        <v>-39.55948025</v>
      </c>
      <c r="G62" s="39">
        <v>-42.323057509999799</v>
      </c>
      <c r="H62" s="39">
        <v>-41.991134790000004</v>
      </c>
      <c r="I62" s="39">
        <v>-38.772576889999996</v>
      </c>
      <c r="J62" s="39">
        <v>-39.982013699999996</v>
      </c>
    </row>
    <row r="63" spans="1:26" ht="16.350000000000001" customHeight="1">
      <c r="B63" s="8" t="s">
        <v>51</v>
      </c>
      <c r="C63" s="19" t="s">
        <v>81</v>
      </c>
      <c r="D63" s="19"/>
      <c r="E63" s="39">
        <v>-16.897811479999998</v>
      </c>
      <c r="F63" s="39">
        <v>-39.461691340000101</v>
      </c>
      <c r="G63" s="39">
        <v>-6.7079568500000004</v>
      </c>
      <c r="H63" s="39">
        <v>-16.31716278</v>
      </c>
      <c r="I63" s="39">
        <v>-4.0569708200000001</v>
      </c>
      <c r="J63" s="39">
        <v>-5.1297199000000004</v>
      </c>
    </row>
    <row r="64" spans="1:26" ht="16.350000000000001" customHeight="1">
      <c r="B64" s="8" t="s">
        <v>14</v>
      </c>
      <c r="C64" s="19" t="s">
        <v>81</v>
      </c>
      <c r="D64" s="19"/>
      <c r="E64" s="39">
        <v>-28.871665399999998</v>
      </c>
      <c r="F64" s="39">
        <v>-74.797125219999998</v>
      </c>
      <c r="G64" s="39">
        <v>-71.104987539999996</v>
      </c>
      <c r="H64" s="39">
        <v>-61.665163159999999</v>
      </c>
      <c r="I64" s="39">
        <v>-79.580359850000008</v>
      </c>
      <c r="J64" s="39">
        <v>-76.335207660000009</v>
      </c>
    </row>
    <row r="65" spans="1:14" ht="16.350000000000001" customHeight="1">
      <c r="B65" s="8" t="s">
        <v>152</v>
      </c>
      <c r="C65" s="19" t="s">
        <v>81</v>
      </c>
      <c r="D65" s="19" t="s">
        <v>153</v>
      </c>
      <c r="E65" s="39">
        <v>-8.2952201800000012</v>
      </c>
      <c r="F65" s="39">
        <v>-8.4521687599999993</v>
      </c>
      <c r="G65" s="39">
        <v>-6.5397529800000003</v>
      </c>
      <c r="H65" s="39">
        <v>-14.804721199999999</v>
      </c>
      <c r="I65" s="39">
        <v>-2.0452001399999999</v>
      </c>
      <c r="J65" s="39">
        <v>-2.2768045900000002</v>
      </c>
    </row>
    <row r="66" spans="1:14" ht="16.350000000000001" customHeight="1">
      <c r="B66" s="8" t="s">
        <v>66</v>
      </c>
      <c r="C66" s="19" t="s">
        <v>81</v>
      </c>
      <c r="D66" s="19"/>
      <c r="E66" s="39">
        <v>19.250724640000001</v>
      </c>
      <c r="F66" s="39">
        <v>17.247202439999917</v>
      </c>
      <c r="G66" s="39">
        <v>4.0052658000001911</v>
      </c>
      <c r="H66" s="39">
        <v>27.191232550000006</v>
      </c>
      <c r="I66" s="39">
        <v>36.797941430000016</v>
      </c>
      <c r="J66" s="39">
        <v>62.131292489999979</v>
      </c>
    </row>
    <row r="67" spans="1:14" ht="16.350000000000001" customHeight="1">
      <c r="B67" s="8" t="s">
        <v>64</v>
      </c>
      <c r="C67" s="19" t="s">
        <v>81</v>
      </c>
      <c r="D67" s="19"/>
      <c r="E67" s="39">
        <v>-12.2435145</v>
      </c>
      <c r="F67" s="39">
        <v>-23.730485710000004</v>
      </c>
      <c r="G67" s="39">
        <v>-8.7187125400000003</v>
      </c>
      <c r="H67" s="39">
        <v>-21.63540777</v>
      </c>
      <c r="I67" s="39">
        <v>-36.394003779999998</v>
      </c>
      <c r="J67" s="39">
        <v>-35.917479029999996</v>
      </c>
    </row>
    <row r="68" spans="1:14" ht="16.350000000000001" customHeight="1">
      <c r="B68" s="8" t="s">
        <v>65</v>
      </c>
      <c r="C68" s="19" t="s">
        <v>81</v>
      </c>
      <c r="D68" s="19"/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</row>
    <row r="69" spans="1:14" ht="16.350000000000001" customHeight="1">
      <c r="B69" s="8" t="s">
        <v>67</v>
      </c>
      <c r="C69" s="19" t="s">
        <v>81</v>
      </c>
      <c r="D69" s="21"/>
      <c r="E69" s="39">
        <v>-12.2435145</v>
      </c>
      <c r="F69" s="39">
        <v>-23.730485710000004</v>
      </c>
      <c r="G69" s="39">
        <v>-8.7187125400000003</v>
      </c>
      <c r="H69" s="39">
        <v>-21.63540777</v>
      </c>
      <c r="I69" s="39">
        <v>-36.394003779999998</v>
      </c>
      <c r="J69" s="39">
        <v>-35.917479029999996</v>
      </c>
    </row>
    <row r="70" spans="1:14" ht="16.350000000000001" customHeight="1">
      <c r="B70" s="8" t="s">
        <v>68</v>
      </c>
      <c r="C70" s="19" t="s">
        <v>81</v>
      </c>
      <c r="D70" s="35"/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</row>
    <row r="71" spans="1:14" ht="16.350000000000001" customHeight="1">
      <c r="B71" s="8" t="s">
        <v>69</v>
      </c>
      <c r="C71" s="19" t="s">
        <v>81</v>
      </c>
      <c r="D71" s="19"/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</row>
    <row r="72" spans="1:14" ht="16.350000000000001" customHeight="1">
      <c r="B72" s="29" t="s">
        <v>70</v>
      </c>
      <c r="C72" s="19" t="s">
        <v>81</v>
      </c>
      <c r="D72" s="19"/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</row>
    <row r="73" spans="1:14" ht="16.350000000000001" customHeight="1">
      <c r="B73" s="10" t="s">
        <v>0</v>
      </c>
      <c r="C73" s="19" t="s">
        <v>81</v>
      </c>
      <c r="D73" s="19"/>
      <c r="E73" s="40">
        <v>7.0072101400000015</v>
      </c>
      <c r="F73" s="40">
        <v>-6.4832832700000864</v>
      </c>
      <c r="G73" s="40">
        <v>-4.7134467399998092</v>
      </c>
      <c r="H73" s="40">
        <v>5.5558247800000053</v>
      </c>
      <c r="I73" s="40">
        <v>0.40393765000001736</v>
      </c>
      <c r="J73" s="40">
        <v>26.213813459999983</v>
      </c>
    </row>
    <row r="74" spans="1:14" ht="16.350000000000001" customHeight="1">
      <c r="B74" s="15"/>
      <c r="C74" s="19"/>
      <c r="D74" s="19"/>
    </row>
    <row r="75" spans="1:14" s="17" customFormat="1" ht="15.75" customHeight="1" thickBot="1">
      <c r="A75" s="3" t="s">
        <v>94</v>
      </c>
      <c r="B75" s="41"/>
      <c r="C75" s="16" t="s">
        <v>27</v>
      </c>
      <c r="D75" s="16" t="s">
        <v>28</v>
      </c>
      <c r="E75" s="1" t="s">
        <v>154</v>
      </c>
      <c r="F75" s="2" t="s">
        <v>96</v>
      </c>
      <c r="G75" s="1" t="s">
        <v>97</v>
      </c>
      <c r="H75" s="2" t="s">
        <v>98</v>
      </c>
      <c r="I75" s="1" t="s">
        <v>156</v>
      </c>
      <c r="J75" s="2" t="s">
        <v>99</v>
      </c>
      <c r="K75" s="1"/>
      <c r="L75" s="2"/>
      <c r="M75" s="1"/>
      <c r="N75" s="2"/>
    </row>
    <row r="76" spans="1:14" ht="16.350000000000001" customHeight="1">
      <c r="B76" s="42" t="s">
        <v>95</v>
      </c>
      <c r="C76" s="19" t="s">
        <v>93</v>
      </c>
      <c r="D76" s="19"/>
    </row>
    <row r="77" spans="1:14" ht="16.350000000000001" customHeight="1">
      <c r="B77" s="15"/>
      <c r="C77" s="19"/>
      <c r="D77" s="19"/>
    </row>
    <row r="78" spans="1:14" ht="16.350000000000001" customHeight="1">
      <c r="B78" s="15"/>
      <c r="C78" s="19"/>
      <c r="D78" s="19"/>
    </row>
    <row r="79" spans="1:14">
      <c r="B79" s="15"/>
      <c r="C79" s="19"/>
      <c r="D79" s="19"/>
    </row>
    <row r="80" spans="1:14">
      <c r="B80" s="15"/>
      <c r="C80" s="19"/>
      <c r="D80" s="19"/>
    </row>
    <row r="81" spans="2:4">
      <c r="B81" s="15"/>
      <c r="C81" s="19"/>
      <c r="D81" s="19"/>
    </row>
    <row r="82" spans="2:4">
      <c r="B82" s="15"/>
      <c r="C82" s="19"/>
      <c r="D82" s="19"/>
    </row>
    <row r="83" spans="2:4">
      <c r="B83" s="15"/>
      <c r="C83" s="19"/>
      <c r="D83" s="19"/>
    </row>
    <row r="84" spans="2:4">
      <c r="B84" s="15"/>
      <c r="C84" s="35"/>
      <c r="D84" s="35"/>
    </row>
    <row r="85" spans="2:4">
      <c r="B85" s="15"/>
      <c r="C85" s="19"/>
      <c r="D85" s="19"/>
    </row>
    <row r="86" spans="2:4">
      <c r="B86" s="15"/>
      <c r="C86" s="19"/>
      <c r="D86" s="19"/>
    </row>
    <row r="87" spans="2:4">
      <c r="B87" s="15"/>
      <c r="C87" s="19"/>
      <c r="D87" s="19"/>
    </row>
    <row r="88" spans="2:4">
      <c r="B88" s="15"/>
      <c r="C88" s="19"/>
      <c r="D88" s="19"/>
    </row>
    <row r="89" spans="2:4">
      <c r="B89" s="15"/>
      <c r="C89" s="19"/>
      <c r="D89" s="19"/>
    </row>
    <row r="90" spans="2:4">
      <c r="B90" s="15"/>
      <c r="C90" s="19"/>
      <c r="D90" s="19"/>
    </row>
    <row r="91" spans="2:4">
      <c r="B91" s="15"/>
      <c r="C91" s="21"/>
      <c r="D91" s="21"/>
    </row>
    <row r="92" spans="2:4">
      <c r="B92" s="15"/>
      <c r="C92" s="35"/>
      <c r="D92" s="35"/>
    </row>
    <row r="93" spans="2:4">
      <c r="C93" s="19"/>
      <c r="D93" s="19"/>
    </row>
    <row r="94" spans="2:4">
      <c r="C94" s="19"/>
      <c r="D94" s="19"/>
    </row>
    <row r="95" spans="2:4">
      <c r="C95" s="19"/>
      <c r="D95" s="19"/>
    </row>
    <row r="96" spans="2:4">
      <c r="C96" s="19"/>
      <c r="D96" s="19"/>
    </row>
    <row r="97" spans="3:4">
      <c r="C97" s="19"/>
      <c r="D97" s="19"/>
    </row>
    <row r="98" spans="3:4">
      <c r="C98" s="19"/>
      <c r="D98" s="19"/>
    </row>
    <row r="99" spans="3:4">
      <c r="C99" s="19"/>
      <c r="D99" s="19"/>
    </row>
    <row r="100" spans="3:4">
      <c r="C100" s="19"/>
      <c r="D100" s="19"/>
    </row>
    <row r="101" spans="3:4">
      <c r="C101" s="19"/>
      <c r="D101" s="19"/>
    </row>
    <row r="102" spans="3:4">
      <c r="C102" s="43"/>
      <c r="D102" s="43"/>
    </row>
    <row r="103" spans="3:4">
      <c r="C103" s="21"/>
      <c r="D103" s="21"/>
    </row>
    <row r="104" spans="3:4">
      <c r="C104" s="35"/>
      <c r="D104" s="35"/>
    </row>
    <row r="105" spans="3:4">
      <c r="C105" s="19"/>
      <c r="D105" s="19"/>
    </row>
    <row r="106" spans="3:4">
      <c r="C106" s="19"/>
      <c r="D106" s="19"/>
    </row>
    <row r="107" spans="3:4">
      <c r="C107" s="19"/>
      <c r="D107" s="19"/>
    </row>
    <row r="108" spans="3:4">
      <c r="C108" s="19"/>
      <c r="D108" s="19"/>
    </row>
    <row r="109" spans="3:4">
      <c r="C109" s="19"/>
      <c r="D109" s="19"/>
    </row>
    <row r="110" spans="3:4">
      <c r="C110" s="19"/>
      <c r="D110" s="19"/>
    </row>
    <row r="111" spans="3:4">
      <c r="C111" s="19"/>
      <c r="D111" s="19"/>
    </row>
    <row r="112" spans="3:4">
      <c r="C112" s="19"/>
      <c r="D112" s="19"/>
    </row>
    <row r="113" spans="3:4">
      <c r="C113" s="19"/>
      <c r="D113" s="19"/>
    </row>
    <row r="114" spans="3:4">
      <c r="C114" s="43"/>
      <c r="D114" s="43"/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0.59999389629810485"/>
  </sheetPr>
  <dimension ref="A1:AB93"/>
  <sheetViews>
    <sheetView zoomScale="80" zoomScaleNormal="80" workbookViewId="0">
      <selection activeCell="B19" sqref="B19"/>
    </sheetView>
  </sheetViews>
  <sheetFormatPr defaultColWidth="8" defaultRowHeight="12.75"/>
  <cols>
    <col min="1" max="1" width="8" style="7"/>
    <col min="2" max="2" width="93.5703125" style="22" customWidth="1"/>
    <col min="3" max="4" width="7.7109375" style="23" customWidth="1"/>
    <col min="5" max="16" width="6.5703125" style="7" bestFit="1" customWidth="1"/>
    <col min="17" max="17" width="8" style="7"/>
    <col min="18" max="18" width="22.42578125" style="7" bestFit="1" customWidth="1"/>
    <col min="19" max="19" width="18" style="7" bestFit="1" customWidth="1"/>
    <col min="20" max="21" width="8" style="7"/>
    <col min="22" max="22" width="28.140625" style="7" bestFit="1" customWidth="1"/>
    <col min="23" max="16384" width="8" style="7"/>
  </cols>
  <sheetData>
    <row r="1" spans="1:22" s="17" customFormat="1" ht="15.75" customHeight="1" thickBot="1">
      <c r="A1" s="3" t="s">
        <v>86</v>
      </c>
      <c r="B1" s="5"/>
      <c r="C1" s="16" t="s">
        <v>27</v>
      </c>
      <c r="D1" s="16" t="s">
        <v>28</v>
      </c>
      <c r="E1" s="1" t="s">
        <v>19</v>
      </c>
      <c r="F1" s="2" t="s">
        <v>20</v>
      </c>
      <c r="G1" s="1" t="s">
        <v>23</v>
      </c>
      <c r="H1" s="2" t="s">
        <v>24</v>
      </c>
      <c r="I1" s="1" t="s">
        <v>21</v>
      </c>
      <c r="J1" s="2" t="s">
        <v>22</v>
      </c>
      <c r="K1" s="1" t="s">
        <v>25</v>
      </c>
      <c r="L1" s="2" t="s">
        <v>26</v>
      </c>
      <c r="M1" s="1" t="s">
        <v>91</v>
      </c>
      <c r="N1" s="2" t="s">
        <v>92</v>
      </c>
      <c r="O1" s="1" t="s">
        <v>88</v>
      </c>
      <c r="P1" s="2" t="s">
        <v>89</v>
      </c>
    </row>
    <row r="2" spans="1:22" ht="16.350000000000001" customHeight="1">
      <c r="B2" s="18" t="s">
        <v>11</v>
      </c>
      <c r="C2" s="19" t="s">
        <v>81</v>
      </c>
      <c r="D2" s="19"/>
      <c r="E2" s="9">
        <v>132.45697376999999</v>
      </c>
      <c r="F2" s="9">
        <v>126.18507667</v>
      </c>
      <c r="G2" s="9">
        <v>150.75253389</v>
      </c>
      <c r="H2" s="9">
        <v>123.43024487999999</v>
      </c>
      <c r="I2" s="9">
        <v>151.30632621999999</v>
      </c>
      <c r="J2" s="9">
        <v>152.41581887000001</v>
      </c>
      <c r="K2" s="9">
        <v>185.40015922999999</v>
      </c>
      <c r="L2" s="9">
        <v>131.5556584</v>
      </c>
      <c r="M2" s="9">
        <v>168.36440538999997</v>
      </c>
      <c r="N2" s="9">
        <v>163.69969456000001</v>
      </c>
      <c r="O2" s="9">
        <v>230.10070530000002</v>
      </c>
      <c r="P2" s="9">
        <v>180.52801674</v>
      </c>
      <c r="V2" s="77"/>
    </row>
    <row r="3" spans="1:22" ht="16.350000000000001" customHeight="1">
      <c r="B3" s="18" t="s">
        <v>12</v>
      </c>
      <c r="C3" s="19" t="s">
        <v>81</v>
      </c>
      <c r="D3" s="19"/>
      <c r="E3" s="9">
        <v>0</v>
      </c>
      <c r="F3" s="9">
        <v>0</v>
      </c>
      <c r="G3" s="9">
        <v>0</v>
      </c>
      <c r="H3" s="9">
        <v>0</v>
      </c>
      <c r="I3" s="9">
        <v>0</v>
      </c>
      <c r="J3" s="9">
        <v>0</v>
      </c>
      <c r="K3" s="9">
        <v>0</v>
      </c>
      <c r="L3" s="9">
        <v>0</v>
      </c>
      <c r="M3" s="7">
        <v>0</v>
      </c>
      <c r="N3" s="9">
        <v>0</v>
      </c>
      <c r="O3" s="7">
        <v>0</v>
      </c>
      <c r="P3" s="7">
        <v>0</v>
      </c>
      <c r="V3" s="77"/>
    </row>
    <row r="4" spans="1:22" ht="16.350000000000001" customHeight="1">
      <c r="B4" s="8" t="s">
        <v>10</v>
      </c>
      <c r="C4" s="19" t="s">
        <v>81</v>
      </c>
      <c r="D4" s="19"/>
      <c r="E4" s="9">
        <v>-48.589324869999984</v>
      </c>
      <c r="F4" s="9">
        <v>-49.110911359999996</v>
      </c>
      <c r="G4" s="9">
        <v>-69.575422709999984</v>
      </c>
      <c r="H4" s="9">
        <v>-58.929547309999975</v>
      </c>
      <c r="I4" s="9">
        <v>-54.432119539999988</v>
      </c>
      <c r="J4" s="9">
        <v>-54.229755359999999</v>
      </c>
      <c r="K4" s="9">
        <v>-88.785363009999998</v>
      </c>
      <c r="L4" s="9">
        <v>-38.849396079999991</v>
      </c>
      <c r="M4" s="9">
        <v>-58.148811999999978</v>
      </c>
      <c r="N4" s="9">
        <v>-56.796729490000004</v>
      </c>
      <c r="O4" s="9">
        <v>-64.775682250000017</v>
      </c>
      <c r="P4" s="9">
        <v>-59.646893260000013</v>
      </c>
      <c r="Q4" s="9"/>
      <c r="R4" s="9"/>
      <c r="V4" s="77"/>
    </row>
    <row r="5" spans="1:22" ht="16.350000000000001" customHeight="1">
      <c r="B5" s="8" t="s">
        <v>13</v>
      </c>
      <c r="C5" s="19" t="s">
        <v>81</v>
      </c>
      <c r="D5" s="19"/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7">
        <v>0</v>
      </c>
      <c r="N5" s="9">
        <v>0</v>
      </c>
      <c r="O5" s="7">
        <v>0</v>
      </c>
      <c r="P5" s="7">
        <v>0</v>
      </c>
      <c r="V5" s="77"/>
    </row>
    <row r="6" spans="1:22" ht="16.350000000000001" customHeight="1">
      <c r="B6" s="36" t="s">
        <v>15</v>
      </c>
      <c r="C6" s="19" t="s">
        <v>81</v>
      </c>
      <c r="D6" s="19"/>
      <c r="E6" s="11">
        <v>83.867648900000006</v>
      </c>
      <c r="F6" s="11">
        <v>77.074165310000012</v>
      </c>
      <c r="G6" s="11">
        <v>81.177111180000011</v>
      </c>
      <c r="H6" s="11">
        <v>64.500697570000014</v>
      </c>
      <c r="I6" s="11">
        <v>96.87420668</v>
      </c>
      <c r="J6" s="11">
        <v>98.186063510000011</v>
      </c>
      <c r="K6" s="11">
        <v>96.614796219999988</v>
      </c>
      <c r="L6" s="11">
        <v>92.706262320000008</v>
      </c>
      <c r="M6" s="11">
        <v>110.21559339</v>
      </c>
      <c r="N6" s="11">
        <v>106.90296507000001</v>
      </c>
      <c r="O6" s="11">
        <v>165.32502305</v>
      </c>
      <c r="P6" s="11">
        <v>120.88112347999999</v>
      </c>
      <c r="V6" s="77"/>
    </row>
    <row r="7" spans="1:22" ht="16.350000000000001" customHeight="1">
      <c r="B7" s="8" t="s">
        <v>5</v>
      </c>
      <c r="C7" s="19" t="s">
        <v>81</v>
      </c>
      <c r="D7" s="19"/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7">
        <v>0</v>
      </c>
      <c r="N7" s="9">
        <v>0</v>
      </c>
      <c r="O7" s="7">
        <v>0</v>
      </c>
      <c r="P7" s="7">
        <v>0</v>
      </c>
      <c r="V7" s="77"/>
    </row>
    <row r="8" spans="1:22" ht="16.350000000000001" customHeight="1">
      <c r="B8" s="8" t="s">
        <v>9</v>
      </c>
      <c r="C8" s="19" t="s">
        <v>81</v>
      </c>
      <c r="D8" s="19"/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7">
        <v>0</v>
      </c>
      <c r="N8" s="9">
        <v>0</v>
      </c>
      <c r="O8" s="7">
        <v>0</v>
      </c>
      <c r="P8" s="7">
        <v>0</v>
      </c>
      <c r="V8" s="77"/>
    </row>
    <row r="9" spans="1:22" ht="16.350000000000001" customHeight="1">
      <c r="B9" s="8" t="s">
        <v>8</v>
      </c>
      <c r="C9" s="19" t="s">
        <v>81</v>
      </c>
      <c r="D9" s="19"/>
      <c r="E9" s="9">
        <v>0</v>
      </c>
      <c r="F9" s="9">
        <v>0</v>
      </c>
      <c r="G9" s="9">
        <v>0</v>
      </c>
      <c r="H9" s="9">
        <v>-182.92385822</v>
      </c>
      <c r="I9" s="9">
        <v>0</v>
      </c>
      <c r="J9" s="9">
        <v>0</v>
      </c>
      <c r="K9" s="9">
        <v>-64.640090520000001</v>
      </c>
      <c r="L9" s="9">
        <v>0</v>
      </c>
      <c r="M9" s="7">
        <v>0</v>
      </c>
      <c r="N9" s="9">
        <v>-51.487228000000002</v>
      </c>
      <c r="O9" s="9">
        <v>-55.213285729999996</v>
      </c>
      <c r="P9" s="7">
        <v>0</v>
      </c>
      <c r="V9" s="77"/>
    </row>
    <row r="10" spans="1:22" ht="16.350000000000001" customHeight="1">
      <c r="B10" s="8" t="s">
        <v>16</v>
      </c>
      <c r="C10" s="19" t="s">
        <v>81</v>
      </c>
      <c r="D10" s="19"/>
      <c r="E10" s="9">
        <v>83.867648900000006</v>
      </c>
      <c r="F10" s="9">
        <v>77.074165310000012</v>
      </c>
      <c r="G10" s="9">
        <v>81.177111180000011</v>
      </c>
      <c r="H10" s="9">
        <v>-118.42316064999999</v>
      </c>
      <c r="I10" s="9">
        <v>96.87420668</v>
      </c>
      <c r="J10" s="9">
        <v>98.186063510000011</v>
      </c>
      <c r="K10" s="9">
        <v>31.974705699999987</v>
      </c>
      <c r="L10" s="9">
        <v>92.706262320000008</v>
      </c>
      <c r="M10" s="9">
        <v>110.21559339</v>
      </c>
      <c r="N10" s="9">
        <v>55.415737070000006</v>
      </c>
      <c r="O10" s="9">
        <v>110.11173732</v>
      </c>
      <c r="P10" s="9">
        <v>120.88112347999999</v>
      </c>
      <c r="V10" s="77"/>
    </row>
    <row r="11" spans="1:22" ht="16.350000000000001" customHeight="1">
      <c r="B11" s="8" t="s">
        <v>6</v>
      </c>
      <c r="C11" s="19" t="s">
        <v>81</v>
      </c>
      <c r="D11" s="19"/>
      <c r="E11" s="9">
        <v>-69.761463960000015</v>
      </c>
      <c r="F11" s="9">
        <v>-75.016466010000002</v>
      </c>
      <c r="G11" s="9">
        <v>-71.168954970000001</v>
      </c>
      <c r="H11" s="9">
        <v>-69.289457650000003</v>
      </c>
      <c r="I11" s="9">
        <v>-75.624470849999994</v>
      </c>
      <c r="J11" s="9">
        <v>-73.087012170000008</v>
      </c>
      <c r="K11" s="9">
        <v>-72.677292229999992</v>
      </c>
      <c r="L11" s="9">
        <v>-71.652785129999998</v>
      </c>
      <c r="M11" s="9">
        <v>-67.647501019999993</v>
      </c>
      <c r="N11" s="9">
        <v>-66.889837920000005</v>
      </c>
      <c r="O11" s="9">
        <v>-66.965781820000004</v>
      </c>
      <c r="P11" s="9">
        <v>-134.14509882999999</v>
      </c>
      <c r="V11" s="77"/>
    </row>
    <row r="12" spans="1:22" ht="16.350000000000001" customHeight="1">
      <c r="B12" s="8" t="s">
        <v>18</v>
      </c>
      <c r="C12" s="19" t="s">
        <v>81</v>
      </c>
      <c r="D12" s="19"/>
      <c r="E12" s="9">
        <v>14.106184939999991</v>
      </c>
      <c r="F12" s="9">
        <v>2.0576993000000101</v>
      </c>
      <c r="G12" s="9">
        <v>10.00815621000001</v>
      </c>
      <c r="H12" s="9">
        <v>-187.71261829999997</v>
      </c>
      <c r="I12" s="9">
        <v>21.249735830000006</v>
      </c>
      <c r="J12" s="9">
        <v>25.099051340000003</v>
      </c>
      <c r="K12" s="9">
        <v>-40.702586530000005</v>
      </c>
      <c r="L12" s="9">
        <v>21.05347719000001</v>
      </c>
      <c r="M12" s="9">
        <v>42.568092370000002</v>
      </c>
      <c r="N12" s="9">
        <v>-11.474100849999999</v>
      </c>
      <c r="O12" s="9">
        <v>43.145955499999999</v>
      </c>
      <c r="P12" s="9">
        <v>-13.26397535000001</v>
      </c>
      <c r="V12" s="77"/>
    </row>
    <row r="13" spans="1:22" ht="16.350000000000001" customHeight="1">
      <c r="B13" s="8" t="s">
        <v>7</v>
      </c>
      <c r="C13" s="19" t="s">
        <v>81</v>
      </c>
      <c r="D13" s="19"/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7">
        <v>0</v>
      </c>
      <c r="N13" s="9">
        <v>0</v>
      </c>
      <c r="O13" s="7">
        <v>0</v>
      </c>
      <c r="P13" s="7">
        <v>0</v>
      </c>
      <c r="V13" s="77"/>
    </row>
    <row r="14" spans="1:22" ht="16.350000000000001" customHeight="1">
      <c r="B14" s="8" t="s">
        <v>14</v>
      </c>
      <c r="C14" s="19" t="s">
        <v>81</v>
      </c>
      <c r="D14" s="19"/>
      <c r="E14" s="9">
        <v>-1.3226688200000001</v>
      </c>
      <c r="F14" s="9">
        <v>-4.5316367099999999</v>
      </c>
      <c r="G14" s="9">
        <v>-5.6750718300000003</v>
      </c>
      <c r="H14" s="9">
        <v>22.813335170000002</v>
      </c>
      <c r="I14" s="9">
        <v>-5.40725839</v>
      </c>
      <c r="J14" s="9">
        <v>-4.9671122400000005</v>
      </c>
      <c r="K14" s="9">
        <v>-4.9671122400000005</v>
      </c>
      <c r="L14" s="9">
        <v>2.3065208399999997</v>
      </c>
      <c r="M14" s="9">
        <v>-6.6762404999999996</v>
      </c>
      <c r="N14" s="9">
        <v>-6.6762404999999996</v>
      </c>
      <c r="O14" s="9">
        <v>-6.6762404999999996</v>
      </c>
      <c r="P14" s="9">
        <v>-0.92378633999999993</v>
      </c>
      <c r="R14" s="78"/>
      <c r="V14" s="77"/>
    </row>
    <row r="15" spans="1:22" ht="16.350000000000001" customHeight="1">
      <c r="B15" s="36" t="s">
        <v>84</v>
      </c>
      <c r="C15" s="19" t="s">
        <v>81</v>
      </c>
      <c r="D15" s="19"/>
      <c r="E15" s="11">
        <v>12.78351612</v>
      </c>
      <c r="F15" s="11">
        <v>-2.47393741</v>
      </c>
      <c r="G15" s="11">
        <v>4.3330843799999998</v>
      </c>
      <c r="H15" s="11">
        <v>-164.89928312999999</v>
      </c>
      <c r="I15" s="11">
        <v>15.84247744</v>
      </c>
      <c r="J15" s="11">
        <v>20.1319391</v>
      </c>
      <c r="K15" s="11">
        <v>-45.669698770000004</v>
      </c>
      <c r="L15" s="11">
        <v>23.35999803</v>
      </c>
      <c r="M15" s="59">
        <v>35.891851870000004</v>
      </c>
      <c r="N15" s="59">
        <v>-18.150341349999998</v>
      </c>
      <c r="O15" s="59">
        <v>36.469715000000001</v>
      </c>
      <c r="P15" s="59">
        <v>-14.187761690000009</v>
      </c>
      <c r="R15" s="9"/>
      <c r="S15" s="79"/>
      <c r="V15" s="77"/>
    </row>
    <row r="16" spans="1:22" ht="16.350000000000001" customHeight="1">
      <c r="B16" s="27"/>
      <c r="C16" s="19"/>
      <c r="D16" s="19"/>
      <c r="E16" s="11"/>
      <c r="F16" s="11"/>
      <c r="G16" s="11"/>
      <c r="H16" s="11"/>
    </row>
    <row r="17" spans="1:28" s="17" customFormat="1" ht="15.75" customHeight="1" thickBot="1">
      <c r="A17" s="3" t="s">
        <v>73</v>
      </c>
      <c r="B17" s="5"/>
      <c r="C17" s="16" t="s">
        <v>27</v>
      </c>
      <c r="D17" s="16" t="s">
        <v>28</v>
      </c>
      <c r="E17" s="1" t="s">
        <v>19</v>
      </c>
      <c r="F17" s="2" t="s">
        <v>20</v>
      </c>
      <c r="G17" s="1" t="s">
        <v>23</v>
      </c>
      <c r="H17" s="2" t="s">
        <v>24</v>
      </c>
      <c r="I17" s="1" t="s">
        <v>21</v>
      </c>
      <c r="J17" s="2" t="s">
        <v>22</v>
      </c>
      <c r="K17" s="1" t="s">
        <v>25</v>
      </c>
      <c r="L17" s="2" t="s">
        <v>26</v>
      </c>
      <c r="M17" s="1" t="s">
        <v>91</v>
      </c>
      <c r="N17" s="2" t="s">
        <v>92</v>
      </c>
      <c r="O17" s="1" t="s">
        <v>88</v>
      </c>
      <c r="P17" s="2" t="s">
        <v>89</v>
      </c>
    </row>
    <row r="18" spans="1:28" ht="16.350000000000001" customHeight="1">
      <c r="B18" s="18" t="s">
        <v>150</v>
      </c>
      <c r="C18" s="19" t="s">
        <v>81</v>
      </c>
      <c r="D18" s="19"/>
      <c r="E18" s="9">
        <v>586.39957609999999</v>
      </c>
      <c r="F18" s="9">
        <v>699.29927080999994</v>
      </c>
      <c r="G18" s="9">
        <v>823.39811679999991</v>
      </c>
      <c r="H18" s="9">
        <v>567.82640715999992</v>
      </c>
      <c r="I18" s="9">
        <v>662.95903638999994</v>
      </c>
      <c r="J18" s="9">
        <v>739.10903771000005</v>
      </c>
      <c r="K18" s="9">
        <v>810.86661507000008</v>
      </c>
      <c r="L18" s="9">
        <v>856.44115178999994</v>
      </c>
      <c r="M18" s="9">
        <v>944.33002564000003</v>
      </c>
      <c r="N18" s="9">
        <v>1019.9207140499999</v>
      </c>
      <c r="O18" s="9">
        <v>1099.53333847</v>
      </c>
      <c r="P18" s="9">
        <v>1171.2465788299999</v>
      </c>
    </row>
    <row r="19" spans="1:28" ht="16.350000000000001" customHeight="1">
      <c r="B19" s="8" t="s">
        <v>157</v>
      </c>
      <c r="C19" s="19" t="s">
        <v>81</v>
      </c>
      <c r="D19" s="19"/>
      <c r="E19" s="9"/>
      <c r="F19" s="9"/>
      <c r="G19" s="9"/>
      <c r="H19" s="9"/>
      <c r="I19" s="9"/>
      <c r="J19" s="9"/>
      <c r="K19" s="9">
        <v>14.103334369999999</v>
      </c>
      <c r="L19" s="9"/>
      <c r="M19" s="9"/>
      <c r="N19" s="9"/>
      <c r="O19" s="9">
        <v>24.945399379999998</v>
      </c>
      <c r="P19" s="9">
        <v>29.931700469999999</v>
      </c>
    </row>
    <row r="20" spans="1:28" ht="16.350000000000001" customHeight="1">
      <c r="B20" s="18" t="s">
        <v>76</v>
      </c>
      <c r="C20" s="19" t="s">
        <v>81</v>
      </c>
      <c r="D20" s="21"/>
      <c r="E20" s="9"/>
      <c r="F20" s="9"/>
      <c r="G20" s="9"/>
      <c r="H20" s="9"/>
      <c r="I20" s="9"/>
      <c r="J20" s="9"/>
      <c r="K20" s="9"/>
      <c r="L20" s="9"/>
    </row>
    <row r="21" spans="1:28" ht="16.350000000000001" customHeight="1">
      <c r="B21" s="18" t="s">
        <v>77</v>
      </c>
      <c r="C21" s="19" t="s">
        <v>81</v>
      </c>
      <c r="D21" s="35"/>
      <c r="E21" s="9"/>
      <c r="F21" s="9"/>
      <c r="G21" s="9"/>
      <c r="H21" s="9"/>
      <c r="I21" s="9"/>
      <c r="J21" s="9"/>
      <c r="K21" s="9"/>
      <c r="L21" s="9"/>
    </row>
    <row r="22" spans="1:28" ht="16.350000000000001" customHeight="1">
      <c r="B22" s="8" t="s">
        <v>78</v>
      </c>
      <c r="C22" s="19" t="s">
        <v>81</v>
      </c>
      <c r="D22" s="35"/>
      <c r="E22" s="9"/>
      <c r="F22" s="9"/>
      <c r="G22" s="9"/>
      <c r="H22" s="9"/>
      <c r="I22" s="9"/>
      <c r="J22" s="9"/>
      <c r="K22" s="9"/>
      <c r="L22" s="9"/>
    </row>
    <row r="23" spans="1:28" ht="16.350000000000001" customHeight="1">
      <c r="B23" s="8" t="s">
        <v>80</v>
      </c>
      <c r="C23" s="19" t="s">
        <v>81</v>
      </c>
      <c r="D23" s="35"/>
      <c r="E23" s="9"/>
      <c r="F23" s="9"/>
      <c r="G23" s="9"/>
      <c r="H23" s="9"/>
      <c r="I23" s="9"/>
      <c r="J23" s="9"/>
      <c r="K23" s="9"/>
      <c r="L23" s="9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</row>
    <row r="24" spans="1:28" ht="16.350000000000001" customHeight="1">
      <c r="B24" s="10" t="s">
        <v>0</v>
      </c>
      <c r="C24" s="19" t="s">
        <v>81</v>
      </c>
      <c r="D24" s="19"/>
      <c r="E24" s="11"/>
      <c r="F24" s="11"/>
      <c r="G24" s="11"/>
      <c r="H24" s="11"/>
      <c r="I24" s="11"/>
      <c r="J24" s="11"/>
      <c r="K24" s="11"/>
      <c r="L24" s="11"/>
    </row>
    <row r="25" spans="1:28" ht="16.350000000000001" customHeight="1">
      <c r="B25" s="27"/>
      <c r="C25" s="19"/>
      <c r="D25" s="19"/>
      <c r="E25" s="11"/>
      <c r="F25" s="11"/>
      <c r="G25" s="11"/>
      <c r="H25" s="11"/>
    </row>
    <row r="26" spans="1:28" s="17" customFormat="1" ht="15.75" customHeight="1" thickBot="1">
      <c r="A26" s="3" t="s">
        <v>79</v>
      </c>
      <c r="B26" s="5"/>
      <c r="C26" s="16" t="s">
        <v>27</v>
      </c>
      <c r="D26" s="16" t="s">
        <v>28</v>
      </c>
      <c r="E26" s="1" t="s">
        <v>19</v>
      </c>
      <c r="F26" s="2" t="s">
        <v>20</v>
      </c>
      <c r="G26" s="1" t="s">
        <v>23</v>
      </c>
      <c r="H26" s="2" t="s">
        <v>24</v>
      </c>
      <c r="I26" s="1" t="s">
        <v>21</v>
      </c>
      <c r="J26" s="2" t="s">
        <v>22</v>
      </c>
      <c r="K26" s="1" t="s">
        <v>25</v>
      </c>
      <c r="L26" s="2" t="s">
        <v>26</v>
      </c>
      <c r="M26" s="1" t="s">
        <v>91</v>
      </c>
      <c r="N26" s="2" t="s">
        <v>92</v>
      </c>
      <c r="O26" s="1" t="s">
        <v>88</v>
      </c>
      <c r="P26" s="2" t="s">
        <v>89</v>
      </c>
    </row>
    <row r="27" spans="1:28" ht="16.350000000000001" customHeight="1">
      <c r="B27" s="18" t="s">
        <v>74</v>
      </c>
      <c r="C27" s="19" t="s">
        <v>81</v>
      </c>
      <c r="D27" s="19"/>
      <c r="E27" s="9"/>
      <c r="F27" s="9"/>
      <c r="G27" s="9"/>
      <c r="H27" s="9"/>
      <c r="I27" s="9"/>
      <c r="J27" s="9"/>
      <c r="K27" s="9"/>
      <c r="L27" s="9"/>
    </row>
    <row r="28" spans="1:28" ht="16.350000000000001" customHeight="1">
      <c r="B28" s="8" t="s">
        <v>75</v>
      </c>
      <c r="C28" s="19" t="s">
        <v>81</v>
      </c>
      <c r="D28" s="19"/>
      <c r="E28" s="9"/>
      <c r="F28" s="9"/>
      <c r="G28" s="9"/>
      <c r="H28" s="9"/>
      <c r="I28" s="9"/>
      <c r="J28" s="9"/>
      <c r="K28" s="9"/>
      <c r="L28" s="9"/>
    </row>
    <row r="29" spans="1:28" ht="16.350000000000001" customHeight="1">
      <c r="B29" s="18" t="s">
        <v>76</v>
      </c>
      <c r="C29" s="19" t="s">
        <v>81</v>
      </c>
      <c r="D29" s="21"/>
      <c r="E29" s="9"/>
      <c r="F29" s="9"/>
      <c r="G29" s="9"/>
      <c r="H29" s="9"/>
      <c r="I29" s="9"/>
      <c r="J29" s="9"/>
      <c r="K29" s="9"/>
      <c r="L29" s="9"/>
    </row>
    <row r="30" spans="1:28" ht="16.350000000000001" customHeight="1">
      <c r="B30" s="18" t="s">
        <v>77</v>
      </c>
      <c r="C30" s="19" t="s">
        <v>81</v>
      </c>
      <c r="D30" s="35"/>
      <c r="E30" s="9"/>
      <c r="F30" s="9"/>
      <c r="G30" s="9"/>
      <c r="H30" s="9"/>
      <c r="I30" s="9"/>
      <c r="J30" s="9"/>
      <c r="K30" s="9"/>
      <c r="L30" s="9"/>
    </row>
    <row r="31" spans="1:28" ht="16.350000000000001" customHeight="1">
      <c r="B31" s="8" t="s">
        <v>78</v>
      </c>
      <c r="C31" s="19" t="s">
        <v>81</v>
      </c>
      <c r="D31" s="35"/>
      <c r="E31" s="9"/>
      <c r="F31" s="9"/>
      <c r="G31" s="9"/>
      <c r="H31" s="9"/>
      <c r="I31" s="9"/>
      <c r="J31" s="9"/>
      <c r="K31" s="9"/>
      <c r="L31" s="9"/>
    </row>
    <row r="32" spans="1:28" ht="16.350000000000001" customHeight="1">
      <c r="B32" s="8" t="s">
        <v>80</v>
      </c>
      <c r="C32" s="19" t="s">
        <v>81</v>
      </c>
      <c r="D32" s="35"/>
      <c r="E32" s="9"/>
      <c r="F32" s="9"/>
      <c r="G32" s="9"/>
      <c r="H32" s="9"/>
      <c r="I32" s="9"/>
      <c r="J32" s="9"/>
      <c r="K32" s="9"/>
      <c r="L32" s="9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</row>
    <row r="33" spans="1:19" ht="16.350000000000001" customHeight="1">
      <c r="B33" s="10" t="s">
        <v>0</v>
      </c>
      <c r="C33" s="19" t="s">
        <v>81</v>
      </c>
      <c r="D33" s="19"/>
      <c r="E33" s="11"/>
      <c r="F33" s="11"/>
      <c r="G33" s="11"/>
      <c r="H33" s="11"/>
      <c r="I33" s="11"/>
      <c r="J33" s="11"/>
      <c r="K33" s="11"/>
      <c r="L33" s="11"/>
    </row>
    <row r="34" spans="1:19" ht="16.350000000000001" customHeight="1">
      <c r="C34" s="19"/>
      <c r="D34" s="19"/>
    </row>
    <row r="35" spans="1:19" s="17" customFormat="1" ht="15.75" customHeight="1" thickBot="1">
      <c r="A35" s="3" t="s">
        <v>44</v>
      </c>
      <c r="B35" s="38"/>
      <c r="C35" s="16" t="s">
        <v>27</v>
      </c>
      <c r="D35" s="16" t="s">
        <v>28</v>
      </c>
      <c r="E35" s="1" t="s">
        <v>19</v>
      </c>
      <c r="F35" s="2" t="s">
        <v>20</v>
      </c>
      <c r="G35" s="1" t="s">
        <v>23</v>
      </c>
      <c r="H35" s="2" t="s">
        <v>24</v>
      </c>
      <c r="I35" s="1" t="s">
        <v>21</v>
      </c>
      <c r="J35" s="2" t="s">
        <v>22</v>
      </c>
      <c r="K35" s="1" t="s">
        <v>25</v>
      </c>
      <c r="L35" s="2" t="s">
        <v>26</v>
      </c>
      <c r="M35" s="1" t="s">
        <v>91</v>
      </c>
      <c r="N35" s="2" t="s">
        <v>92</v>
      </c>
      <c r="O35" s="1" t="s">
        <v>88</v>
      </c>
      <c r="P35" s="2" t="s">
        <v>89</v>
      </c>
    </row>
    <row r="36" spans="1:19" ht="16.350000000000001" customHeight="1">
      <c r="B36" s="18" t="s">
        <v>45</v>
      </c>
      <c r="C36" s="19" t="s">
        <v>81</v>
      </c>
      <c r="D36" s="19"/>
      <c r="E36" s="39">
        <v>53.678100999999998</v>
      </c>
      <c r="F36" s="39">
        <v>57.378649179999996</v>
      </c>
      <c r="G36" s="39">
        <v>46.813983649999997</v>
      </c>
      <c r="H36" s="39">
        <v>133.44162954000001</v>
      </c>
      <c r="I36" s="39">
        <v>68.525039859999993</v>
      </c>
      <c r="J36" s="39">
        <v>63.460520159999994</v>
      </c>
      <c r="K36" s="39">
        <v>75.656386019999999</v>
      </c>
      <c r="L36" s="39">
        <v>97.825469589999997</v>
      </c>
      <c r="M36" s="9">
        <v>94.006527550000001</v>
      </c>
      <c r="N36" s="9">
        <v>80.533174060000007</v>
      </c>
      <c r="O36" s="9">
        <v>101.9906178</v>
      </c>
      <c r="P36" s="9">
        <v>110.15140366</v>
      </c>
      <c r="R36" s="14"/>
      <c r="S36" s="80"/>
    </row>
    <row r="37" spans="1:19" ht="16.350000000000001" customHeight="1">
      <c r="B37" s="8" t="s">
        <v>46</v>
      </c>
      <c r="C37" s="19" t="s">
        <v>81</v>
      </c>
      <c r="D37" s="19"/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7">
        <v>0</v>
      </c>
      <c r="N37" s="7">
        <v>0</v>
      </c>
      <c r="O37" s="7">
        <v>0</v>
      </c>
      <c r="P37" s="7">
        <v>0</v>
      </c>
      <c r="R37" s="14"/>
      <c r="S37" s="9"/>
    </row>
    <row r="38" spans="1:19" ht="16.350000000000001" customHeight="1">
      <c r="B38" s="8" t="s">
        <v>47</v>
      </c>
      <c r="C38" s="19" t="s">
        <v>81</v>
      </c>
      <c r="D38" s="19"/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7">
        <v>0</v>
      </c>
      <c r="N38" s="7">
        <v>0</v>
      </c>
      <c r="O38" s="7">
        <v>0</v>
      </c>
      <c r="P38" s="7">
        <v>0</v>
      </c>
      <c r="R38" s="14"/>
      <c r="S38" s="9"/>
    </row>
    <row r="39" spans="1:19" ht="16.350000000000001" customHeight="1">
      <c r="B39" s="8" t="s">
        <v>48</v>
      </c>
      <c r="C39" s="19" t="s">
        <v>81</v>
      </c>
      <c r="D39" s="19"/>
      <c r="E39" s="39">
        <v>-8.7526729999999997E-2</v>
      </c>
      <c r="F39" s="39">
        <v>-0.16437419</v>
      </c>
      <c r="G39" s="39">
        <v>-0.10877004</v>
      </c>
      <c r="H39" s="39">
        <v>-0.62917513999999997</v>
      </c>
      <c r="I39" s="39">
        <v>-1.30453934</v>
      </c>
      <c r="J39" s="39">
        <v>-0.36558059999999998</v>
      </c>
      <c r="K39" s="39">
        <v>-7.2881509999999997E-2</v>
      </c>
      <c r="L39" s="39">
        <v>-11.439559619999999</v>
      </c>
      <c r="M39" s="9">
        <v>-6.9468941100000006</v>
      </c>
      <c r="N39" s="9">
        <v>-6.3397583700000002</v>
      </c>
      <c r="O39" s="9">
        <v>-6.7018830100000013</v>
      </c>
      <c r="P39" s="9">
        <v>-9.2587988900000013</v>
      </c>
      <c r="R39" s="14"/>
      <c r="S39" s="9"/>
    </row>
    <row r="40" spans="1:19" ht="16.350000000000001" customHeight="1">
      <c r="B40" s="8" t="s">
        <v>49</v>
      </c>
      <c r="C40" s="19" t="s">
        <v>81</v>
      </c>
      <c r="D40" s="35"/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7">
        <v>0</v>
      </c>
      <c r="N40" s="7">
        <v>0</v>
      </c>
      <c r="O40" s="9">
        <v>-2.1748224999999999</v>
      </c>
      <c r="P40" s="9">
        <v>-8.1514787200000001</v>
      </c>
      <c r="R40" s="14"/>
      <c r="S40" s="9"/>
    </row>
    <row r="41" spans="1:19" ht="16.350000000000001" customHeight="1">
      <c r="B41" s="8" t="s">
        <v>50</v>
      </c>
      <c r="C41" s="19" t="s">
        <v>81</v>
      </c>
      <c r="D41" s="19"/>
      <c r="E41" s="39">
        <v>-18.235872059999998</v>
      </c>
      <c r="F41" s="39">
        <v>-19.253555500000001</v>
      </c>
      <c r="G41" s="39">
        <v>-19.75047275</v>
      </c>
      <c r="H41" s="39">
        <v>-19.8090075</v>
      </c>
      <c r="I41" s="39">
        <v>-21.4510605699998</v>
      </c>
      <c r="J41" s="39">
        <v>-20.871996940000002</v>
      </c>
      <c r="K41" s="39">
        <v>-21.25309318</v>
      </c>
      <c r="L41" s="39">
        <v>-20.73804161</v>
      </c>
      <c r="M41" s="9">
        <v>-19.04920534</v>
      </c>
      <c r="N41" s="9">
        <v>-19.72337155</v>
      </c>
      <c r="O41" s="9">
        <v>-20.26669807</v>
      </c>
      <c r="P41" s="9">
        <v>-19.715315629999999</v>
      </c>
      <c r="R41" s="14"/>
      <c r="S41" s="9"/>
    </row>
    <row r="42" spans="1:19" ht="16.350000000000001" customHeight="1">
      <c r="B42" s="8" t="s">
        <v>51</v>
      </c>
      <c r="C42" s="19" t="s">
        <v>81</v>
      </c>
      <c r="D42" s="19"/>
      <c r="E42" s="39">
        <v>-5.0543030399999997</v>
      </c>
      <c r="F42" s="39">
        <v>-11.843508439999999</v>
      </c>
      <c r="G42" s="39">
        <v>-22.231480019999999</v>
      </c>
      <c r="H42" s="39">
        <v>-17.230211320000102</v>
      </c>
      <c r="I42" s="39">
        <v>-0.92894487000000003</v>
      </c>
      <c r="J42" s="39">
        <v>-5.7790119800000008</v>
      </c>
      <c r="K42" s="39">
        <v>-3.7814822000000001</v>
      </c>
      <c r="L42" s="39">
        <v>-12.535680579999999</v>
      </c>
      <c r="M42" s="9">
        <v>-1.8980504499999999</v>
      </c>
      <c r="N42" s="9">
        <v>-2.1589203700000001</v>
      </c>
      <c r="O42" s="9">
        <v>-2.3392254700000001</v>
      </c>
      <c r="P42" s="9">
        <v>-2.7904944300000003</v>
      </c>
      <c r="R42" s="14"/>
      <c r="S42" s="9"/>
    </row>
    <row r="43" spans="1:19" ht="16.350000000000001" customHeight="1">
      <c r="B43" s="8" t="s">
        <v>14</v>
      </c>
      <c r="C43" s="19" t="s">
        <v>81</v>
      </c>
      <c r="D43" s="19"/>
      <c r="E43" s="39">
        <v>-12.711915449999999</v>
      </c>
      <c r="F43" s="39">
        <v>-16.159749949999998</v>
      </c>
      <c r="G43" s="39">
        <v>-43.463229499999997</v>
      </c>
      <c r="H43" s="39">
        <v>-31.333895719999997</v>
      </c>
      <c r="I43" s="39">
        <v>-43.185271</v>
      </c>
      <c r="J43" s="39">
        <v>-27.91971654</v>
      </c>
      <c r="K43" s="39">
        <v>-32.684775109999997</v>
      </c>
      <c r="L43" s="39">
        <v>-28.980388050000002</v>
      </c>
      <c r="M43" s="9">
        <v>-40.766821</v>
      </c>
      <c r="N43" s="9">
        <v>-38.81353885</v>
      </c>
      <c r="O43" s="9">
        <v>-39.86399128</v>
      </c>
      <c r="P43" s="9">
        <v>-36.471216380000001</v>
      </c>
      <c r="R43" s="14"/>
      <c r="S43" s="9"/>
    </row>
    <row r="44" spans="1:19" ht="16.350000000000001" customHeight="1">
      <c r="B44" s="8" t="s">
        <v>152</v>
      </c>
      <c r="C44" s="19" t="s">
        <v>81</v>
      </c>
      <c r="D44" s="19" t="s">
        <v>153</v>
      </c>
      <c r="E44" s="39">
        <v>-3.70728568</v>
      </c>
      <c r="F44" s="39">
        <v>-4.5879345000000002</v>
      </c>
      <c r="G44" s="39">
        <v>-4.6465036399999997</v>
      </c>
      <c r="H44" s="39">
        <v>-3.80566512</v>
      </c>
      <c r="I44" s="39">
        <v>-2.8640462900000001</v>
      </c>
      <c r="J44" s="39">
        <v>-3.6757066900000002</v>
      </c>
      <c r="K44" s="39">
        <v>-3.9920323600000001</v>
      </c>
      <c r="L44" s="39">
        <v>-10.81268884</v>
      </c>
      <c r="M44" s="9">
        <v>-1.17760639</v>
      </c>
      <c r="N44" s="9">
        <v>-0.86759375000000005</v>
      </c>
      <c r="O44" s="9">
        <v>-0.78064683999999995</v>
      </c>
      <c r="P44" s="9">
        <v>-1.4961577500000001</v>
      </c>
      <c r="R44" s="14"/>
      <c r="S44" s="9"/>
    </row>
    <row r="45" spans="1:19" ht="16.350000000000001" customHeight="1">
      <c r="B45" s="8" t="s">
        <v>66</v>
      </c>
      <c r="C45" s="19" t="s">
        <v>81</v>
      </c>
      <c r="D45" s="19"/>
      <c r="E45" s="39">
        <v>13.881198039999999</v>
      </c>
      <c r="F45" s="39">
        <v>5.369526600000003</v>
      </c>
      <c r="G45" s="39">
        <v>-43.386472300000001</v>
      </c>
      <c r="H45" s="39">
        <v>60.63367473999989</v>
      </c>
      <c r="I45" s="39">
        <v>-1.2088222099998118</v>
      </c>
      <c r="J45" s="39">
        <v>4.848507409999991</v>
      </c>
      <c r="K45" s="39">
        <v>13.872121660000001</v>
      </c>
      <c r="L45" s="39">
        <v>13.319110890000005</v>
      </c>
      <c r="M45" s="39">
        <v>24.167950259999998</v>
      </c>
      <c r="N45" s="39">
        <v>12.629991170000016</v>
      </c>
      <c r="O45" s="39">
        <v>29.863350629999982</v>
      </c>
      <c r="P45" s="39">
        <v>32.267941860000001</v>
      </c>
      <c r="R45" s="14"/>
      <c r="S45" s="9"/>
    </row>
    <row r="46" spans="1:19" ht="16.350000000000001" customHeight="1">
      <c r="B46" s="8" t="s">
        <v>64</v>
      </c>
      <c r="C46" s="19" t="s">
        <v>81</v>
      </c>
      <c r="D46" s="19"/>
      <c r="E46" s="39">
        <v>-4.8714972999999997</v>
      </c>
      <c r="F46" s="39">
        <v>-7.3720172000000002</v>
      </c>
      <c r="G46" s="39">
        <v>-11.113267380000002</v>
      </c>
      <c r="H46" s="39">
        <v>-12.61721833</v>
      </c>
      <c r="I46" s="39">
        <v>-3.4890453900000002</v>
      </c>
      <c r="J46" s="39">
        <v>-5.22966715</v>
      </c>
      <c r="K46" s="39">
        <v>-9.7921069600000017</v>
      </c>
      <c r="L46" s="39">
        <v>-11.843300810000001</v>
      </c>
      <c r="M46" s="9">
        <v>-21.332394860000001</v>
      </c>
      <c r="N46" s="9">
        <v>-15.061608919999999</v>
      </c>
      <c r="O46" s="9">
        <v>-19.697693999999998</v>
      </c>
      <c r="P46" s="9">
        <v>-16.219785030000001</v>
      </c>
      <c r="R46" s="81"/>
    </row>
    <row r="47" spans="1:19" ht="16.350000000000001" customHeight="1">
      <c r="B47" s="8" t="s">
        <v>65</v>
      </c>
      <c r="C47" s="19" t="s">
        <v>81</v>
      </c>
      <c r="D47" s="19"/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9">
        <v>0</v>
      </c>
      <c r="N47" s="9">
        <v>0</v>
      </c>
      <c r="O47" s="9">
        <v>0</v>
      </c>
      <c r="P47" s="9">
        <v>0</v>
      </c>
      <c r="R47" s="14"/>
    </row>
    <row r="48" spans="1:19" ht="16.350000000000001" customHeight="1">
      <c r="B48" s="8" t="s">
        <v>67</v>
      </c>
      <c r="C48" s="19" t="s">
        <v>81</v>
      </c>
      <c r="D48" s="21"/>
      <c r="E48" s="39">
        <v>-4.8714972999999997</v>
      </c>
      <c r="F48" s="39">
        <v>-7.3720172000000002</v>
      </c>
      <c r="G48" s="39">
        <v>-11.113267380000002</v>
      </c>
      <c r="H48" s="39">
        <v>-12.61721833</v>
      </c>
      <c r="I48" s="39">
        <v>-3.4890453900000002</v>
      </c>
      <c r="J48" s="39">
        <v>-5.22966715</v>
      </c>
      <c r="K48" s="39">
        <v>-9.7921069600000017</v>
      </c>
      <c r="L48" s="39">
        <v>-11.843300810000001</v>
      </c>
      <c r="M48" s="39">
        <v>-21.332394860000001</v>
      </c>
      <c r="N48" s="39">
        <v>-15.061608919999999</v>
      </c>
      <c r="O48" s="39">
        <v>-19.697693999999998</v>
      </c>
      <c r="P48" s="39">
        <v>-16.219785030000001</v>
      </c>
      <c r="R48" s="14"/>
    </row>
    <row r="49" spans="2:18" ht="16.350000000000001" customHeight="1">
      <c r="B49" s="8" t="s">
        <v>68</v>
      </c>
      <c r="C49" s="19" t="s">
        <v>81</v>
      </c>
      <c r="D49" s="35"/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</row>
    <row r="50" spans="2:18" ht="16.350000000000001" customHeight="1">
      <c r="B50" s="8" t="s">
        <v>69</v>
      </c>
      <c r="C50" s="19" t="s">
        <v>81</v>
      </c>
      <c r="D50" s="19"/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</row>
    <row r="51" spans="2:18" ht="16.350000000000001" customHeight="1">
      <c r="B51" s="29" t="s">
        <v>70</v>
      </c>
      <c r="C51" s="19" t="s">
        <v>81</v>
      </c>
      <c r="D51" s="19"/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</row>
    <row r="52" spans="2:18" ht="16.350000000000001" customHeight="1">
      <c r="B52" s="10" t="s">
        <v>0</v>
      </c>
      <c r="C52" s="19" t="s">
        <v>81</v>
      </c>
      <c r="D52" s="19"/>
      <c r="E52" s="40">
        <v>9.0097007399999995</v>
      </c>
      <c r="F52" s="40">
        <v>-2.0024905999999971</v>
      </c>
      <c r="G52" s="40">
        <v>-54.499739680000005</v>
      </c>
      <c r="H52" s="40">
        <v>48.01645640999989</v>
      </c>
      <c r="I52" s="40">
        <v>-4.6978675999998121</v>
      </c>
      <c r="J52" s="40">
        <v>-0.38115974000000907</v>
      </c>
      <c r="K52" s="40">
        <v>4.0800146999999996</v>
      </c>
      <c r="L52" s="40">
        <v>1.475810080000004</v>
      </c>
      <c r="M52" s="40">
        <v>2.835555399999997</v>
      </c>
      <c r="N52" s="40">
        <v>-2.4316177499999831</v>
      </c>
      <c r="O52" s="40">
        <v>10.165656629999983</v>
      </c>
      <c r="P52" s="40">
        <v>16.04815683</v>
      </c>
      <c r="R52" s="82"/>
    </row>
    <row r="53" spans="2:18" ht="16.350000000000001" customHeight="1">
      <c r="B53" s="15"/>
      <c r="C53" s="19"/>
      <c r="D53" s="19"/>
    </row>
    <row r="54" spans="2:18" ht="16.350000000000001" customHeight="1">
      <c r="B54" s="15"/>
      <c r="C54" s="19"/>
      <c r="D54" s="19"/>
    </row>
    <row r="55" spans="2:18" ht="16.350000000000001" customHeight="1">
      <c r="B55" s="15"/>
      <c r="C55" s="19"/>
      <c r="D55" s="19"/>
    </row>
    <row r="56" spans="2:18" ht="16.350000000000001" customHeight="1">
      <c r="B56" s="15"/>
      <c r="C56" s="19"/>
      <c r="D56" s="19"/>
    </row>
    <row r="57" spans="2:18" ht="16.350000000000001" customHeight="1">
      <c r="B57" s="15"/>
      <c r="C57" s="19"/>
      <c r="D57" s="19"/>
    </row>
    <row r="58" spans="2:18">
      <c r="B58" s="15"/>
      <c r="C58" s="19"/>
      <c r="D58" s="19"/>
    </row>
    <row r="59" spans="2:18">
      <c r="B59" s="15"/>
      <c r="C59" s="19"/>
      <c r="D59" s="19"/>
    </row>
    <row r="60" spans="2:18">
      <c r="B60" s="15"/>
      <c r="C60" s="19"/>
      <c r="D60" s="19"/>
    </row>
    <row r="61" spans="2:18">
      <c r="B61" s="15"/>
      <c r="C61" s="19"/>
      <c r="D61" s="19"/>
    </row>
    <row r="62" spans="2:18">
      <c r="B62" s="15"/>
      <c r="C62" s="19"/>
      <c r="D62" s="19"/>
    </row>
    <row r="63" spans="2:18">
      <c r="B63" s="15"/>
      <c r="C63" s="35"/>
      <c r="D63" s="35"/>
    </row>
    <row r="64" spans="2:18">
      <c r="B64" s="15"/>
      <c r="C64" s="19"/>
      <c r="D64" s="19"/>
    </row>
    <row r="65" spans="2:4">
      <c r="B65" s="15"/>
      <c r="C65" s="19"/>
      <c r="D65" s="19"/>
    </row>
    <row r="66" spans="2:4">
      <c r="B66" s="15"/>
      <c r="C66" s="19"/>
      <c r="D66" s="19"/>
    </row>
    <row r="67" spans="2:4">
      <c r="B67" s="15"/>
      <c r="C67" s="19"/>
      <c r="D67" s="19"/>
    </row>
    <row r="68" spans="2:4">
      <c r="B68" s="15"/>
      <c r="C68" s="19"/>
      <c r="D68" s="19"/>
    </row>
    <row r="69" spans="2:4">
      <c r="B69" s="15"/>
      <c r="C69" s="19"/>
      <c r="D69" s="19"/>
    </row>
    <row r="70" spans="2:4">
      <c r="B70" s="15"/>
      <c r="C70" s="21"/>
      <c r="D70" s="21"/>
    </row>
    <row r="71" spans="2:4">
      <c r="B71" s="15"/>
      <c r="C71" s="35"/>
      <c r="D71" s="35"/>
    </row>
    <row r="72" spans="2:4">
      <c r="C72" s="19"/>
      <c r="D72" s="19"/>
    </row>
    <row r="73" spans="2:4">
      <c r="C73" s="19"/>
      <c r="D73" s="19"/>
    </row>
    <row r="74" spans="2:4">
      <c r="C74" s="19"/>
      <c r="D74" s="19"/>
    </row>
    <row r="75" spans="2:4">
      <c r="C75" s="19"/>
      <c r="D75" s="19"/>
    </row>
    <row r="76" spans="2:4">
      <c r="C76" s="19"/>
      <c r="D76" s="19"/>
    </row>
    <row r="77" spans="2:4">
      <c r="C77" s="19"/>
      <c r="D77" s="19"/>
    </row>
    <row r="78" spans="2:4">
      <c r="C78" s="19"/>
      <c r="D78" s="19"/>
    </row>
    <row r="79" spans="2:4">
      <c r="C79" s="19"/>
      <c r="D79" s="19"/>
    </row>
    <row r="80" spans="2:4">
      <c r="C80" s="19"/>
      <c r="D80" s="19"/>
    </row>
    <row r="81" spans="3:4">
      <c r="C81" s="43"/>
      <c r="D81" s="43"/>
    </row>
    <row r="82" spans="3:4">
      <c r="C82" s="21"/>
      <c r="D82" s="21"/>
    </row>
    <row r="83" spans="3:4">
      <c r="C83" s="35"/>
      <c r="D83" s="35"/>
    </row>
    <row r="84" spans="3:4">
      <c r="C84" s="19"/>
      <c r="D84" s="19"/>
    </row>
    <row r="85" spans="3:4">
      <c r="C85" s="19"/>
      <c r="D85" s="19"/>
    </row>
    <row r="86" spans="3:4">
      <c r="C86" s="19"/>
      <c r="D86" s="19"/>
    </row>
    <row r="87" spans="3:4">
      <c r="C87" s="19"/>
      <c r="D87" s="19"/>
    </row>
    <row r="88" spans="3:4">
      <c r="C88" s="19"/>
      <c r="D88" s="19"/>
    </row>
    <row r="89" spans="3:4">
      <c r="C89" s="19"/>
      <c r="D89" s="19"/>
    </row>
    <row r="90" spans="3:4">
      <c r="C90" s="19"/>
      <c r="D90" s="19"/>
    </row>
    <row r="91" spans="3:4">
      <c r="C91" s="19"/>
      <c r="D91" s="19"/>
    </row>
    <row r="92" spans="3:4">
      <c r="C92" s="19"/>
      <c r="D92" s="19"/>
    </row>
    <row r="93" spans="3:4">
      <c r="C93" s="43"/>
      <c r="D93" s="43"/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Physical_annual</vt:lpstr>
      <vt:lpstr>Physical_quarterly</vt:lpstr>
      <vt:lpstr>Physical_monthly</vt:lpstr>
      <vt:lpstr>Commercial_annual</vt:lpstr>
      <vt:lpstr>Commercial_quarterly</vt:lpstr>
      <vt:lpstr>Commercial_monthly</vt:lpstr>
      <vt:lpstr>SIB_FS_annual</vt:lpstr>
      <vt:lpstr>SIB_FS_semiannual</vt:lpstr>
      <vt:lpstr>SIB_FS_quarterly</vt:lpstr>
      <vt:lpstr>Commercial_annual!Область_печати</vt:lpstr>
      <vt:lpstr>Commercial_monthly!Область_печати</vt:lpstr>
      <vt:lpstr>Commercial_quarterly!Область_печати</vt:lpstr>
      <vt:lpstr>Physical_annual!Область_печати</vt:lpstr>
      <vt:lpstr>Physical_monthly!Область_печати</vt:lpstr>
      <vt:lpstr>Physical_quarterly!Область_печати</vt:lpstr>
      <vt:lpstr>SIB_FS_annual!Область_печати</vt:lpstr>
      <vt:lpstr>SIB_FS_quarterly!Область_печати</vt:lpstr>
      <vt:lpstr>SIB_FS_semiannual!Область_печати</vt:lpstr>
    </vt:vector>
  </TitlesOfParts>
  <Company>WBG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Konstantin Jochum</dc:creator>
  <cp:lastModifiedBy>Камолидин Асоев</cp:lastModifiedBy>
  <dcterms:created xsi:type="dcterms:W3CDTF">2023-12-04T18:42:25Z</dcterms:created>
  <dcterms:modified xsi:type="dcterms:W3CDTF">2025-03-25T15:38:46Z</dcterms:modified>
</cp:coreProperties>
</file>