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B\World Bank\"/>
    </mc:Choice>
  </mc:AlternateContent>
  <xr:revisionPtr revIDLastSave="0" documentId="8_{3C689B96-DEB7-4A58-A324-36B2A190BE7D}" xr6:coauthVersionLast="47" xr6:coauthVersionMax="47" xr10:uidLastSave="{00000000-0000-0000-0000-000000000000}"/>
  <bookViews>
    <workbookView xWindow="-98" yWindow="-98" windowWidth="23596" windowHeight="15076" tabRatio="931" firstSheet="1" activeTab="1" xr2:uid="{00000000-000D-0000-FFFF-FFFF00000000}"/>
  </bookViews>
  <sheets>
    <sheet name=" Физический_годовой" sheetId="67" r:id="rId1"/>
    <sheet name=" Физический_ежеквартальный" sheetId="68" r:id="rId2"/>
    <sheet name=" Физический_ежемесячный" sheetId="69" r:id="rId3"/>
    <sheet name=" Коммерческий_ежегодный" sheetId="63" r:id="rId4"/>
    <sheet name=" Коммерческий_ежеквартальный" sheetId="70" r:id="rId5"/>
    <sheet name=" Коммерческий_ежемесячно" sheetId="71" r:id="rId6"/>
    <sheet name=" STB_FS_годовой" sheetId="22" r:id="rId7"/>
    <sheet name=" STB_FS_полугодовой" sheetId="60" r:id="rId8"/>
    <sheet name=" STB_FS_квартально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56.9" localSheetId="0">#REF!</definedName>
    <definedName name="_56.9" localSheetId="1">#REF!</definedName>
    <definedName name="_56.9" localSheetId="2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6">[3]STB_FS_annual!$B$1:$B$84</definedName>
    <definedName name="_xlnm.Print_Area" localSheetId="8">[4]STB_FS_quarterly!$B$1:$B$51</definedName>
    <definedName name="_xlnm.Print_Area" localSheetId="7">[5]STB_FS_semiannual!$B$1:$B$73</definedName>
    <definedName name="_xlnm.Print_Area" localSheetId="3">[6]Commercial_annual!$B$11:$B$86</definedName>
    <definedName name="_xlnm.Print_Area" localSheetId="5">[7]Commercial_monthly!$B$11:$B$86</definedName>
    <definedName name="_xlnm.Print_Area" localSheetId="0">[8]Physical_annual!$B$6:$B$17</definedName>
    <definedName name="_xlnm.Print_Area" localSheetId="1">[9]Physical_quarterly!$B$6:$B$17</definedName>
    <definedName name="_xlnm.Print_Area" localSheetId="2">[10]Physical_monthly!$B$6:$B$17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60" l="1"/>
  <c r="K21" i="60"/>
  <c r="K22" i="60"/>
  <c r="K23" i="60"/>
  <c r="K24" i="60"/>
  <c r="K20" i="60"/>
  <c r="N26" i="35"/>
  <c r="N17" i="35" l="1"/>
  <c r="K65" i="60" l="1"/>
  <c r="K64" i="60"/>
  <c r="K63" i="60"/>
  <c r="K62" i="60"/>
  <c r="K67" i="60"/>
  <c r="K66" i="60"/>
  <c r="K44" i="35"/>
  <c r="M44" i="35"/>
  <c r="M45" i="35"/>
  <c r="L45" i="35"/>
  <c r="N37" i="35"/>
  <c r="N44" i="35"/>
  <c r="N45" i="35" s="1"/>
  <c r="N29" i="35"/>
  <c r="K51" i="60" s="1"/>
  <c r="N34" i="35"/>
  <c r="N36" i="35"/>
  <c r="N31" i="35"/>
  <c r="N35" i="35"/>
  <c r="N33" i="35"/>
  <c r="N32" i="35"/>
  <c r="K60" i="60"/>
  <c r="K59" i="60"/>
  <c r="K58" i="60"/>
  <c r="K57" i="60"/>
  <c r="K56" i="60"/>
  <c r="K55" i="60"/>
  <c r="K54" i="60"/>
  <c r="K53" i="60"/>
  <c r="K52" i="60"/>
  <c r="K61" i="60"/>
  <c r="J51" i="60"/>
  <c r="K39" i="60"/>
  <c r="K38" i="60"/>
  <c r="K36" i="60"/>
  <c r="K17" i="60"/>
  <c r="K3" i="60"/>
  <c r="K4" i="60"/>
  <c r="K5" i="60"/>
  <c r="K6" i="60"/>
  <c r="K7" i="60"/>
  <c r="K8" i="60"/>
  <c r="K9" i="60"/>
  <c r="K2" i="60"/>
  <c r="N6" i="35"/>
  <c r="N3" i="35"/>
  <c r="N2" i="35"/>
  <c r="N99" i="70"/>
  <c r="N100" i="70"/>
  <c r="N101" i="70"/>
  <c r="N102" i="70"/>
  <c r="N111" i="70" s="1"/>
  <c r="N103" i="70"/>
  <c r="N104" i="70"/>
  <c r="N105" i="70"/>
  <c r="N106" i="70"/>
  <c r="N107" i="70"/>
  <c r="N108" i="70"/>
  <c r="N109" i="70"/>
  <c r="N110" i="70"/>
  <c r="N69" i="70"/>
  <c r="N70" i="70"/>
  <c r="N71" i="70"/>
  <c r="N72" i="70"/>
  <c r="N73" i="70"/>
  <c r="N74" i="70"/>
  <c r="N75" i="70"/>
  <c r="N76" i="70"/>
  <c r="N77" i="70"/>
  <c r="N78" i="70"/>
  <c r="N79" i="70"/>
  <c r="N81" i="70"/>
  <c r="N55" i="70"/>
  <c r="N56" i="70"/>
  <c r="N57" i="70"/>
  <c r="N58" i="70"/>
  <c r="N59" i="70"/>
  <c r="N60" i="70"/>
  <c r="N61" i="70"/>
  <c r="N62" i="70"/>
  <c r="N63" i="70"/>
  <c r="N64" i="70"/>
  <c r="N54" i="70"/>
  <c r="N4" i="35" l="1"/>
  <c r="N9" i="35" s="1"/>
  <c r="N66" i="70"/>
  <c r="N51" i="70" l="1"/>
  <c r="N29" i="70" s="1"/>
  <c r="N40" i="70"/>
  <c r="N41" i="70"/>
  <c r="N42" i="70"/>
  <c r="N20" i="70" s="1"/>
  <c r="N43" i="70"/>
  <c r="N21" i="70" s="1"/>
  <c r="N44" i="70"/>
  <c r="N45" i="70"/>
  <c r="N46" i="70"/>
  <c r="N24" i="70" s="1"/>
  <c r="N47" i="70"/>
  <c r="N25" i="70" s="1"/>
  <c r="N48" i="70"/>
  <c r="N49" i="70"/>
  <c r="N39" i="70"/>
  <c r="N17" i="70" s="1"/>
  <c r="N18" i="70"/>
  <c r="N19" i="70"/>
  <c r="N22" i="70"/>
  <c r="N23" i="70"/>
  <c r="N26" i="70"/>
  <c r="N27" i="70"/>
  <c r="N3" i="70"/>
  <c r="N4" i="70"/>
  <c r="N5" i="70"/>
  <c r="N6" i="70"/>
  <c r="N7" i="70"/>
  <c r="N8" i="70"/>
  <c r="N9" i="70"/>
  <c r="N10" i="70"/>
  <c r="N11" i="70"/>
  <c r="N12" i="70"/>
  <c r="N2" i="70"/>
  <c r="AF2" i="71"/>
  <c r="AH19" i="69"/>
  <c r="N19" i="68"/>
  <c r="N4" i="68"/>
  <c r="N3" i="68"/>
  <c r="N2" i="68"/>
  <c r="AF4" i="69"/>
  <c r="AG4" i="69"/>
  <c r="AH4" i="69"/>
  <c r="N8" i="68"/>
  <c r="N9" i="68"/>
  <c r="N10" i="68"/>
  <c r="N11" i="68"/>
  <c r="N12" i="68"/>
  <c r="N13" i="68"/>
  <c r="N14" i="68"/>
  <c r="N15" i="68"/>
  <c r="N16" i="68"/>
  <c r="N17" i="68"/>
  <c r="N7" i="68"/>
  <c r="AH29" i="71"/>
  <c r="AG29" i="71"/>
  <c r="AG19" i="69"/>
  <c r="AF19" i="69"/>
  <c r="AF17" i="71"/>
  <c r="AH12" i="71"/>
  <c r="AG12" i="71"/>
  <c r="AF12" i="71"/>
  <c r="AH11" i="71"/>
  <c r="AH26" i="71" s="1"/>
  <c r="AG11" i="71"/>
  <c r="AF11" i="71"/>
  <c r="AF26" i="71" s="1"/>
  <c r="AH10" i="71"/>
  <c r="AH25" i="71" s="1"/>
  <c r="AG10" i="71"/>
  <c r="AG25" i="71" s="1"/>
  <c r="AF10" i="71"/>
  <c r="AH9" i="71"/>
  <c r="AG9" i="71"/>
  <c r="AG24" i="71" s="1"/>
  <c r="AF9" i="71"/>
  <c r="AF24" i="71" s="1"/>
  <c r="AH8" i="71"/>
  <c r="AG8" i="71"/>
  <c r="AF8" i="71"/>
  <c r="AH7" i="71"/>
  <c r="AH22" i="71" s="1"/>
  <c r="AG7" i="71"/>
  <c r="AF7" i="71"/>
  <c r="AH6" i="71"/>
  <c r="AG6" i="71"/>
  <c r="AG21" i="71" s="1"/>
  <c r="AF6" i="71"/>
  <c r="AH5" i="71"/>
  <c r="AH20" i="71" s="1"/>
  <c r="AG5" i="71"/>
  <c r="AG20" i="71" s="1"/>
  <c r="AF5" i="71"/>
  <c r="AF20" i="71" s="1"/>
  <c r="AH4" i="71"/>
  <c r="AG4" i="71"/>
  <c r="AF4" i="71"/>
  <c r="AF19" i="71" s="1"/>
  <c r="AH3" i="71"/>
  <c r="AH18" i="71" s="1"/>
  <c r="AG3" i="71"/>
  <c r="AF3" i="71"/>
  <c r="AH2" i="71"/>
  <c r="AG2" i="71"/>
  <c r="AG14" i="71" s="1"/>
  <c r="AH112" i="71"/>
  <c r="AG112" i="71"/>
  <c r="AF112" i="71"/>
  <c r="AH111" i="71"/>
  <c r="AG111" i="71"/>
  <c r="AF111" i="71"/>
  <c r="AH110" i="71"/>
  <c r="AG110" i="71"/>
  <c r="AF110" i="71"/>
  <c r="AH109" i="71"/>
  <c r="AG109" i="71"/>
  <c r="AF109" i="71"/>
  <c r="AH108" i="71"/>
  <c r="AG108" i="71"/>
  <c r="AF108" i="71"/>
  <c r="AH107" i="71"/>
  <c r="AG107" i="71"/>
  <c r="AF107" i="71"/>
  <c r="AH106" i="71"/>
  <c r="AG106" i="71"/>
  <c r="AF106" i="71"/>
  <c r="AH105" i="71"/>
  <c r="AH114" i="71" s="1"/>
  <c r="AG105" i="71"/>
  <c r="AF105" i="71"/>
  <c r="AH104" i="71"/>
  <c r="AG104" i="71"/>
  <c r="AG114" i="71" s="1"/>
  <c r="AF104" i="71"/>
  <c r="AH103" i="71"/>
  <c r="AG103" i="71"/>
  <c r="AF103" i="71"/>
  <c r="AF114" i="71" s="1"/>
  <c r="AH102" i="71"/>
  <c r="AG102" i="71"/>
  <c r="AF102" i="71"/>
  <c r="AF84" i="71"/>
  <c r="AH82" i="71"/>
  <c r="AG82" i="71"/>
  <c r="AF82" i="71"/>
  <c r="AH81" i="71"/>
  <c r="AG81" i="71"/>
  <c r="AF81" i="71"/>
  <c r="AH80" i="71"/>
  <c r="AG80" i="71"/>
  <c r="AF80" i="71"/>
  <c r="AH79" i="71"/>
  <c r="AG79" i="71"/>
  <c r="AF79" i="71"/>
  <c r="AH78" i="71"/>
  <c r="AG78" i="71"/>
  <c r="AF78" i="71"/>
  <c r="AH77" i="71"/>
  <c r="AG77" i="71"/>
  <c r="AF77" i="71"/>
  <c r="AH76" i="71"/>
  <c r="AG76" i="71"/>
  <c r="AF76" i="71"/>
  <c r="AH75" i="71"/>
  <c r="AG75" i="71"/>
  <c r="AF75" i="71"/>
  <c r="AH74" i="71"/>
  <c r="AG74" i="71"/>
  <c r="AF74" i="71"/>
  <c r="AH73" i="71"/>
  <c r="AG73" i="71"/>
  <c r="AF73" i="71"/>
  <c r="AH72" i="71"/>
  <c r="AG72" i="71"/>
  <c r="AF72" i="71"/>
  <c r="AH69" i="71"/>
  <c r="AH84" i="71" s="1"/>
  <c r="AG69" i="71"/>
  <c r="AG84" i="71" s="1"/>
  <c r="AF69" i="71"/>
  <c r="AH54" i="71"/>
  <c r="AG54" i="71"/>
  <c r="AF54" i="71"/>
  <c r="AH27" i="71"/>
  <c r="AG27" i="71"/>
  <c r="AF27" i="71"/>
  <c r="AG26" i="71"/>
  <c r="AF25" i="71"/>
  <c r="AH24" i="71"/>
  <c r="AH23" i="71"/>
  <c r="AG23" i="71"/>
  <c r="AF23" i="71"/>
  <c r="AG22" i="71"/>
  <c r="AF22" i="71"/>
  <c r="AH21" i="71"/>
  <c r="AF21" i="71"/>
  <c r="AH19" i="71"/>
  <c r="AG19" i="71"/>
  <c r="AG18" i="71"/>
  <c r="AF18" i="71"/>
  <c r="AH14" i="71"/>
  <c r="G16" i="35"/>
  <c r="E16" i="35"/>
  <c r="M2" i="68"/>
  <c r="M4" i="68" s="1"/>
  <c r="M111" i="70"/>
  <c r="M100" i="70"/>
  <c r="M101" i="70"/>
  <c r="M102" i="70"/>
  <c r="M103" i="70"/>
  <c r="M104" i="70"/>
  <c r="M105" i="70"/>
  <c r="M106" i="70"/>
  <c r="M107" i="70"/>
  <c r="M108" i="70"/>
  <c r="M109" i="70"/>
  <c r="M110" i="70"/>
  <c r="M99" i="70"/>
  <c r="M55" i="70"/>
  <c r="M56" i="70"/>
  <c r="M57" i="70"/>
  <c r="M58" i="70"/>
  <c r="M59" i="70"/>
  <c r="M60" i="70"/>
  <c r="M61" i="70"/>
  <c r="M62" i="70"/>
  <c r="M77" i="70" s="1"/>
  <c r="M63" i="70"/>
  <c r="M64" i="70"/>
  <c r="M54" i="70"/>
  <c r="M40" i="70"/>
  <c r="M70" i="70" s="1"/>
  <c r="M41" i="70"/>
  <c r="M42" i="70"/>
  <c r="M43" i="70"/>
  <c r="M44" i="70"/>
  <c r="M45" i="70"/>
  <c r="M46" i="70"/>
  <c r="M24" i="70" s="1"/>
  <c r="M47" i="70"/>
  <c r="M48" i="70"/>
  <c r="M49" i="70"/>
  <c r="M39" i="70"/>
  <c r="M3" i="70"/>
  <c r="M14" i="70" s="1"/>
  <c r="M4" i="70"/>
  <c r="M5" i="70"/>
  <c r="M6" i="70"/>
  <c r="M7" i="70"/>
  <c r="M8" i="70"/>
  <c r="M9" i="70"/>
  <c r="M10" i="70"/>
  <c r="M11" i="70"/>
  <c r="M12" i="70"/>
  <c r="M2" i="70"/>
  <c r="AC102" i="71"/>
  <c r="AC114" i="71" s="1"/>
  <c r="AD102" i="71"/>
  <c r="AE102" i="71"/>
  <c r="AC103" i="71"/>
  <c r="AD103" i="71"/>
  <c r="AE103" i="71"/>
  <c r="AC104" i="71"/>
  <c r="AD104" i="71"/>
  <c r="AE104" i="71"/>
  <c r="AC105" i="71"/>
  <c r="AD105" i="71"/>
  <c r="AE105" i="71"/>
  <c r="AC106" i="71"/>
  <c r="AD106" i="71"/>
  <c r="AE106" i="71"/>
  <c r="AC107" i="71"/>
  <c r="AD107" i="71"/>
  <c r="AE107" i="71"/>
  <c r="AC108" i="71"/>
  <c r="AD108" i="71"/>
  <c r="AD114" i="71" s="1"/>
  <c r="AE108" i="71"/>
  <c r="AC109" i="71"/>
  <c r="AD109" i="71"/>
  <c r="AE109" i="71"/>
  <c r="AC110" i="71"/>
  <c r="AD110" i="71"/>
  <c r="AE110" i="71"/>
  <c r="AC111" i="71"/>
  <c r="AD111" i="71"/>
  <c r="AE111" i="71"/>
  <c r="AC112" i="71"/>
  <c r="AD112" i="71"/>
  <c r="AE112" i="71"/>
  <c r="AE114" i="71"/>
  <c r="AC72" i="71"/>
  <c r="AD72" i="71"/>
  <c r="AE72" i="71"/>
  <c r="AC73" i="71"/>
  <c r="AD73" i="71"/>
  <c r="AE73" i="71"/>
  <c r="AC74" i="71"/>
  <c r="AD74" i="71"/>
  <c r="AE74" i="71"/>
  <c r="AC75" i="71"/>
  <c r="AD75" i="71"/>
  <c r="AE75" i="71"/>
  <c r="AC76" i="71"/>
  <c r="AD76" i="71"/>
  <c r="AE76" i="71"/>
  <c r="AC77" i="71"/>
  <c r="AD77" i="71"/>
  <c r="AE77" i="71"/>
  <c r="AC78" i="71"/>
  <c r="AD78" i="71"/>
  <c r="AE78" i="71"/>
  <c r="AC79" i="71"/>
  <c r="AD79" i="71"/>
  <c r="AE79" i="71"/>
  <c r="AC80" i="71"/>
  <c r="AD80" i="71"/>
  <c r="AE80" i="71"/>
  <c r="AC81" i="71"/>
  <c r="AD81" i="71"/>
  <c r="AE81" i="71"/>
  <c r="AC82" i="71"/>
  <c r="AD82" i="71"/>
  <c r="AE82" i="71"/>
  <c r="AC84" i="71"/>
  <c r="AD84" i="71"/>
  <c r="AE84" i="71"/>
  <c r="AC69" i="71"/>
  <c r="AD69" i="71"/>
  <c r="AE69" i="71"/>
  <c r="AC54" i="71"/>
  <c r="AC29" i="71" s="1"/>
  <c r="AD54" i="71"/>
  <c r="AD29" i="71" s="1"/>
  <c r="AE54" i="71"/>
  <c r="AE29" i="71" s="1"/>
  <c r="AB29" i="71"/>
  <c r="AC17" i="71"/>
  <c r="AD17" i="71"/>
  <c r="AE17" i="71"/>
  <c r="AC18" i="71"/>
  <c r="AD18" i="71"/>
  <c r="AE18" i="71"/>
  <c r="AC19" i="71"/>
  <c r="AD19" i="71"/>
  <c r="AE19" i="71"/>
  <c r="AC20" i="71"/>
  <c r="AD20" i="71"/>
  <c r="AE20" i="71"/>
  <c r="AC21" i="71"/>
  <c r="AD21" i="71"/>
  <c r="AE21" i="71"/>
  <c r="AC22" i="71"/>
  <c r="AD22" i="71"/>
  <c r="AE22" i="71"/>
  <c r="AC23" i="71"/>
  <c r="AD23" i="71"/>
  <c r="AE23" i="71"/>
  <c r="AC24" i="71"/>
  <c r="AD24" i="71"/>
  <c r="AE24" i="71"/>
  <c r="AC25" i="71"/>
  <c r="AD25" i="71"/>
  <c r="AE25" i="71"/>
  <c r="AC26" i="71"/>
  <c r="AD26" i="71"/>
  <c r="AE26" i="71"/>
  <c r="AC27" i="71"/>
  <c r="AD27" i="71"/>
  <c r="AE27" i="71"/>
  <c r="M36" i="70"/>
  <c r="M7" i="68"/>
  <c r="M8" i="68"/>
  <c r="M9" i="68"/>
  <c r="M10" i="68"/>
  <c r="M11" i="68"/>
  <c r="M19" i="68" s="1"/>
  <c r="M12" i="68"/>
  <c r="M13" i="68"/>
  <c r="M14" i="68"/>
  <c r="M15" i="68"/>
  <c r="M16" i="68"/>
  <c r="M17" i="68"/>
  <c r="G8" i="68"/>
  <c r="M3" i="68"/>
  <c r="AE19" i="69"/>
  <c r="AD19" i="69"/>
  <c r="AC19" i="69"/>
  <c r="AE4" i="69"/>
  <c r="AD4" i="69"/>
  <c r="AC4" i="69"/>
  <c r="N14" i="70" l="1"/>
  <c r="AF14" i="71"/>
  <c r="AF29" i="71" s="1"/>
  <c r="AH17" i="71"/>
  <c r="AG17" i="71"/>
  <c r="M23" i="70"/>
  <c r="M18" i="70"/>
  <c r="M27" i="70"/>
  <c r="M19" i="70"/>
  <c r="M22" i="70"/>
  <c r="M76" i="70"/>
  <c r="M66" i="70"/>
  <c r="M21" i="70"/>
  <c r="M78" i="70"/>
  <c r="M75" i="70"/>
  <c r="M72" i="70"/>
  <c r="M79" i="70"/>
  <c r="M71" i="70"/>
  <c r="M74" i="70"/>
  <c r="M25" i="70"/>
  <c r="M26" i="70"/>
  <c r="M73" i="70"/>
  <c r="M69" i="70" l="1"/>
  <c r="M20" i="70"/>
  <c r="M9" i="35"/>
  <c r="M17" i="70" l="1"/>
  <c r="M51" i="70"/>
  <c r="M37" i="35"/>
  <c r="M16" i="35"/>
  <c r="M6" i="35"/>
  <c r="M25" i="35"/>
  <c r="M4" i="35"/>
  <c r="M29" i="70" l="1"/>
  <c r="M81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J48" i="60"/>
  <c r="I48" i="60"/>
  <c r="H48" i="60"/>
  <c r="G48" i="60"/>
  <c r="J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47" i="60" s="1"/>
  <c r="I25" i="35"/>
  <c r="H25" i="35"/>
  <c r="H47" i="60" s="1"/>
  <c r="G25" i="35"/>
  <c r="F25" i="35"/>
  <c r="G47" i="60" s="1"/>
  <c r="E25" i="35"/>
  <c r="L31" i="35"/>
  <c r="L34" i="35"/>
  <c r="L33" i="35"/>
  <c r="K31" i="35"/>
  <c r="J31" i="35"/>
  <c r="K34" i="35"/>
  <c r="K36" i="35"/>
  <c r="J36" i="35"/>
  <c r="I31" i="35"/>
  <c r="I34" i="35"/>
  <c r="F31" i="35"/>
  <c r="F34" i="35"/>
  <c r="I36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F36" i="63"/>
  <c r="E36" i="63"/>
  <c r="F36" i="70"/>
  <c r="G36" i="70"/>
  <c r="H36" i="70"/>
  <c r="I36" i="70"/>
  <c r="J36" i="70"/>
  <c r="K36" i="70"/>
  <c r="L36" i="70"/>
  <c r="E36" i="70"/>
  <c r="F14" i="22" l="1"/>
  <c r="J61" i="60" l="1"/>
  <c r="J62" i="60"/>
  <c r="J63" i="60"/>
  <c r="J64" i="60"/>
  <c r="J65" i="60"/>
  <c r="J60" i="60"/>
  <c r="I61" i="60"/>
  <c r="I74" i="22" s="1"/>
  <c r="I62" i="60"/>
  <c r="I75" i="22" s="1"/>
  <c r="I63" i="60"/>
  <c r="I64" i="60"/>
  <c r="I77" i="22" s="1"/>
  <c r="I65" i="60"/>
  <c r="I78" i="22" s="1"/>
  <c r="I60" i="60"/>
  <c r="H61" i="60"/>
  <c r="H62" i="60"/>
  <c r="H63" i="60"/>
  <c r="H64" i="60"/>
  <c r="H65" i="60"/>
  <c r="H60" i="60"/>
  <c r="G61" i="60"/>
  <c r="G62" i="60"/>
  <c r="G63" i="60"/>
  <c r="G64" i="60"/>
  <c r="G65" i="60"/>
  <c r="H78" i="22" s="1"/>
  <c r="G60" i="60"/>
  <c r="G52" i="60"/>
  <c r="H52" i="60"/>
  <c r="I52" i="60"/>
  <c r="I65" i="22" s="1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I51" i="60"/>
  <c r="H51" i="60"/>
  <c r="G51" i="60"/>
  <c r="H77" i="22" l="1"/>
  <c r="H76" i="22"/>
  <c r="H75" i="22"/>
  <c r="H65" i="22"/>
  <c r="I76" i="22"/>
  <c r="I68" i="22"/>
  <c r="I70" i="22"/>
  <c r="I66" i="22"/>
  <c r="I67" i="22"/>
  <c r="I64" i="22"/>
  <c r="I73" i="22"/>
  <c r="H73" i="22"/>
  <c r="H74" i="22"/>
  <c r="H59" i="60"/>
  <c r="H69" i="22"/>
  <c r="H64" i="22"/>
  <c r="H66" i="22"/>
  <c r="H67" i="22"/>
  <c r="H68" i="22"/>
  <c r="I71" i="22"/>
  <c r="H71" i="22"/>
  <c r="H70" i="22"/>
  <c r="I69" i="22"/>
  <c r="J59" i="60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I72" i="22"/>
  <c r="H72" i="22"/>
  <c r="H80" i="22" s="1"/>
  <c r="I79" i="22" s="1"/>
  <c r="I80" i="22" s="1"/>
  <c r="J66" i="60" l="1"/>
  <c r="J67" i="60" s="1"/>
  <c r="F102" i="7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AB102" i="71"/>
  <c r="F103" i="71"/>
  <c r="G103" i="71"/>
  <c r="H103" i="71"/>
  <c r="I103" i="71"/>
  <c r="J103" i="71"/>
  <c r="K103" i="71"/>
  <c r="L103" i="71"/>
  <c r="M103" i="71"/>
  <c r="N103" i="71"/>
  <c r="O103" i="71"/>
  <c r="P103" i="71"/>
  <c r="Q103" i="71"/>
  <c r="R103" i="71"/>
  <c r="S103" i="71"/>
  <c r="T103" i="71"/>
  <c r="U103" i="71"/>
  <c r="V103" i="71"/>
  <c r="W103" i="71"/>
  <c r="X103" i="71"/>
  <c r="Y103" i="71"/>
  <c r="Z103" i="71"/>
  <c r="AA103" i="71"/>
  <c r="AB103" i="71"/>
  <c r="F104" i="71"/>
  <c r="G104" i="71"/>
  <c r="H104" i="71"/>
  <c r="I104" i="71"/>
  <c r="J104" i="71"/>
  <c r="K104" i="71"/>
  <c r="L104" i="71"/>
  <c r="M104" i="71"/>
  <c r="N104" i="71"/>
  <c r="O104" i="71"/>
  <c r="P104" i="71"/>
  <c r="Q104" i="71"/>
  <c r="R104" i="71"/>
  <c r="S104" i="71"/>
  <c r="T104" i="71"/>
  <c r="U104" i="71"/>
  <c r="V104" i="71"/>
  <c r="W104" i="71"/>
  <c r="X104" i="71"/>
  <c r="Y104" i="71"/>
  <c r="Z104" i="71"/>
  <c r="AA104" i="71"/>
  <c r="AB104" i="71"/>
  <c r="F105" i="71"/>
  <c r="G105" i="71"/>
  <c r="H105" i="71"/>
  <c r="I105" i="71"/>
  <c r="J105" i="71"/>
  <c r="K105" i="71"/>
  <c r="L105" i="71"/>
  <c r="M105" i="71"/>
  <c r="N105" i="71"/>
  <c r="O105" i="71"/>
  <c r="P105" i="71"/>
  <c r="Q105" i="71"/>
  <c r="R105" i="71"/>
  <c r="S105" i="71"/>
  <c r="T105" i="71"/>
  <c r="U105" i="71"/>
  <c r="V105" i="71"/>
  <c r="W105" i="71"/>
  <c r="X105" i="71"/>
  <c r="Y105" i="71"/>
  <c r="Z105" i="71"/>
  <c r="AA105" i="71"/>
  <c r="AB105" i="71"/>
  <c r="F106" i="71"/>
  <c r="G106" i="71"/>
  <c r="H106" i="71"/>
  <c r="I106" i="71"/>
  <c r="J106" i="71"/>
  <c r="K106" i="71"/>
  <c r="L106" i="71"/>
  <c r="M106" i="71"/>
  <c r="N106" i="71"/>
  <c r="O106" i="71"/>
  <c r="P106" i="71"/>
  <c r="Q106" i="71"/>
  <c r="R106" i="71"/>
  <c r="S106" i="71"/>
  <c r="T106" i="71"/>
  <c r="U106" i="71"/>
  <c r="V106" i="71"/>
  <c r="W106" i="71"/>
  <c r="X106" i="71"/>
  <c r="Y106" i="71"/>
  <c r="Z106" i="71"/>
  <c r="AA106" i="71"/>
  <c r="AB106" i="71"/>
  <c r="F107" i="71"/>
  <c r="G107" i="71"/>
  <c r="H107" i="71"/>
  <c r="I107" i="71"/>
  <c r="J107" i="71"/>
  <c r="K107" i="71"/>
  <c r="L107" i="71"/>
  <c r="M107" i="71"/>
  <c r="N107" i="71"/>
  <c r="O107" i="71"/>
  <c r="P107" i="71"/>
  <c r="Q107" i="71"/>
  <c r="R107" i="71"/>
  <c r="S107" i="71"/>
  <c r="T107" i="71"/>
  <c r="U107" i="71"/>
  <c r="V107" i="71"/>
  <c r="W107" i="71"/>
  <c r="X107" i="71"/>
  <c r="Y107" i="71"/>
  <c r="Z107" i="71"/>
  <c r="AA107" i="71"/>
  <c r="AB107" i="71"/>
  <c r="F108" i="71"/>
  <c r="G108" i="71"/>
  <c r="H108" i="71"/>
  <c r="I108" i="71"/>
  <c r="J108" i="71"/>
  <c r="K108" i="71"/>
  <c r="L108" i="71"/>
  <c r="M108" i="71"/>
  <c r="N108" i="71"/>
  <c r="O108" i="71"/>
  <c r="P108" i="71"/>
  <c r="Q108" i="71"/>
  <c r="R108" i="71"/>
  <c r="S108" i="71"/>
  <c r="T108" i="71"/>
  <c r="U108" i="71"/>
  <c r="V108" i="71"/>
  <c r="W108" i="71"/>
  <c r="X108" i="71"/>
  <c r="Y108" i="71"/>
  <c r="Z108" i="71"/>
  <c r="AA108" i="71"/>
  <c r="AB108" i="71"/>
  <c r="F109" i="71"/>
  <c r="G109" i="71"/>
  <c r="H109" i="71"/>
  <c r="I109" i="71"/>
  <c r="J109" i="71"/>
  <c r="K109" i="71"/>
  <c r="L109" i="71"/>
  <c r="M109" i="71"/>
  <c r="N109" i="71"/>
  <c r="O109" i="71"/>
  <c r="P109" i="71"/>
  <c r="Q109" i="71"/>
  <c r="R109" i="71"/>
  <c r="S109" i="71"/>
  <c r="T109" i="71"/>
  <c r="U109" i="71"/>
  <c r="V109" i="71"/>
  <c r="W109" i="71"/>
  <c r="X109" i="71"/>
  <c r="Y109" i="71"/>
  <c r="Z109" i="71"/>
  <c r="AA109" i="71"/>
  <c r="AB109" i="71"/>
  <c r="F110" i="71"/>
  <c r="G110" i="71"/>
  <c r="H110" i="71"/>
  <c r="I110" i="71"/>
  <c r="J110" i="71"/>
  <c r="K110" i="71"/>
  <c r="L110" i="71"/>
  <c r="M110" i="71"/>
  <c r="N110" i="71"/>
  <c r="O110" i="71"/>
  <c r="P110" i="71"/>
  <c r="Q110" i="71"/>
  <c r="R110" i="71"/>
  <c r="S110" i="71"/>
  <c r="T110" i="71"/>
  <c r="U110" i="71"/>
  <c r="V110" i="71"/>
  <c r="W110" i="71"/>
  <c r="X110" i="71"/>
  <c r="Y110" i="71"/>
  <c r="Z110" i="71"/>
  <c r="AA110" i="71"/>
  <c r="AB110" i="71"/>
  <c r="F111" i="71"/>
  <c r="G111" i="71"/>
  <c r="H111" i="71"/>
  <c r="I111" i="71"/>
  <c r="J111" i="71"/>
  <c r="K111" i="71"/>
  <c r="L111" i="71"/>
  <c r="M111" i="71"/>
  <c r="N111" i="71"/>
  <c r="O111" i="71"/>
  <c r="P111" i="71"/>
  <c r="Q111" i="71"/>
  <c r="R111" i="71"/>
  <c r="S111" i="71"/>
  <c r="T111" i="71"/>
  <c r="U111" i="71"/>
  <c r="V111" i="71"/>
  <c r="W111" i="71"/>
  <c r="X111" i="71"/>
  <c r="Y111" i="71"/>
  <c r="Z111" i="71"/>
  <c r="AA111" i="71"/>
  <c r="AB111" i="71"/>
  <c r="F112" i="71"/>
  <c r="G112" i="71"/>
  <c r="H112" i="71"/>
  <c r="I112" i="71"/>
  <c r="J112" i="71"/>
  <c r="K112" i="71"/>
  <c r="L112" i="71"/>
  <c r="M112" i="71"/>
  <c r="N112" i="71"/>
  <c r="O112" i="71"/>
  <c r="P112" i="71"/>
  <c r="Q112" i="71"/>
  <c r="R112" i="71"/>
  <c r="S112" i="71"/>
  <c r="T112" i="71"/>
  <c r="U112" i="71"/>
  <c r="V112" i="71"/>
  <c r="W112" i="71"/>
  <c r="X112" i="71"/>
  <c r="Y112" i="71"/>
  <c r="Z112" i="71"/>
  <c r="AA112" i="71"/>
  <c r="AB112" i="71"/>
  <c r="E103" i="71"/>
  <c r="E104" i="71"/>
  <c r="E105" i="71"/>
  <c r="E106" i="71"/>
  <c r="E107" i="71"/>
  <c r="E108" i="71"/>
  <c r="E109" i="71"/>
  <c r="E110" i="71"/>
  <c r="E111" i="71"/>
  <c r="E112" i="71"/>
  <c r="E102" i="71"/>
  <c r="F110" i="70"/>
  <c r="G110" i="70"/>
  <c r="H110" i="70"/>
  <c r="I110" i="70"/>
  <c r="J110" i="70"/>
  <c r="K110" i="70"/>
  <c r="L110" i="70"/>
  <c r="E110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F16" i="35"/>
  <c r="I16" i="35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I24" i="60" l="1"/>
  <c r="I25" i="60" s="1"/>
  <c r="H44" i="35"/>
  <c r="H45" i="35" s="1"/>
  <c r="G24" i="60"/>
  <c r="G25" i="60" s="1"/>
  <c r="K16" i="35"/>
  <c r="J24" i="60" s="1"/>
  <c r="J25" i="60" s="1"/>
  <c r="H16" i="35"/>
  <c r="H24" i="60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E9" i="35" s="1"/>
  <c r="I44" i="35" l="1"/>
  <c r="I45" i="35" s="1"/>
  <c r="F61" i="22"/>
  <c r="G61" i="22"/>
  <c r="J44" i="35" l="1"/>
  <c r="J45" i="35" s="1"/>
  <c r="F18" i="67"/>
  <c r="E18" i="67"/>
  <c r="K45" i="35" l="1"/>
  <c r="L44" i="35" s="1"/>
  <c r="E8" i="68" l="1"/>
  <c r="F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E11" i="67" s="1"/>
  <c r="F11" i="68"/>
  <c r="G11" i="68"/>
  <c r="H11" i="68"/>
  <c r="I11" i="68"/>
  <c r="J11" i="68"/>
  <c r="K11" i="68"/>
  <c r="L11" i="68"/>
  <c r="E12" i="68"/>
  <c r="E12" i="67" s="1"/>
  <c r="F12" i="68"/>
  <c r="G12" i="68"/>
  <c r="H12" i="68"/>
  <c r="I12" i="68"/>
  <c r="J12" i="68"/>
  <c r="K12" i="68"/>
  <c r="L12" i="68"/>
  <c r="E13" i="68"/>
  <c r="E13" i="67" s="1"/>
  <c r="F13" i="68"/>
  <c r="G13" i="68"/>
  <c r="H13" i="68"/>
  <c r="I13" i="68"/>
  <c r="J13" i="68"/>
  <c r="K13" i="68"/>
  <c r="L13" i="68"/>
  <c r="E14" i="68"/>
  <c r="E14" i="67" s="1"/>
  <c r="F14" i="68"/>
  <c r="G14" i="68"/>
  <c r="H14" i="68"/>
  <c r="I14" i="68"/>
  <c r="J14" i="68"/>
  <c r="K14" i="68"/>
  <c r="L14" i="68"/>
  <c r="E15" i="68"/>
  <c r="E15" i="67" s="1"/>
  <c r="F15" i="68"/>
  <c r="G15" i="68"/>
  <c r="H15" i="68"/>
  <c r="I15" i="68"/>
  <c r="J15" i="68"/>
  <c r="K15" i="68"/>
  <c r="L15" i="68"/>
  <c r="E16" i="68"/>
  <c r="E16" i="67" s="1"/>
  <c r="F16" i="68"/>
  <c r="G16" i="68"/>
  <c r="H16" i="68"/>
  <c r="I16" i="68"/>
  <c r="J16" i="68"/>
  <c r="K16" i="68"/>
  <c r="L16" i="68"/>
  <c r="E17" i="68"/>
  <c r="E17" i="67" s="1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I4" i="68"/>
  <c r="E3" i="68"/>
  <c r="G3" i="68"/>
  <c r="H3" i="68"/>
  <c r="I3" i="68"/>
  <c r="J3" i="68"/>
  <c r="K3" i="68"/>
  <c r="K4" i="68" s="1"/>
  <c r="L3" i="68"/>
  <c r="L2" i="68"/>
  <c r="L4" i="68" s="1"/>
  <c r="K2" i="68"/>
  <c r="J2" i="68"/>
  <c r="J4" i="68" s="1"/>
  <c r="I2" i="68"/>
  <c r="H2" i="68"/>
  <c r="H4" i="68" s="1"/>
  <c r="G2" i="68"/>
  <c r="G4" i="68" s="1"/>
  <c r="E2" i="68"/>
  <c r="E2" i="67" s="1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F17" i="67" l="1"/>
  <c r="F16" i="67"/>
  <c r="F15" i="67"/>
  <c r="F14" i="67"/>
  <c r="F13" i="67"/>
  <c r="F12" i="67"/>
  <c r="F11" i="67"/>
  <c r="F10" i="67"/>
  <c r="F9" i="67"/>
  <c r="F8" i="67"/>
  <c r="F3" i="67"/>
  <c r="F2" i="67"/>
  <c r="F4" i="67" s="1"/>
  <c r="F7" i="67"/>
  <c r="E3" i="67"/>
  <c r="E4" i="67" s="1"/>
  <c r="E4" i="68"/>
  <c r="E10" i="67"/>
  <c r="E9" i="67"/>
  <c r="E8" i="67"/>
  <c r="E19" i="67" s="1"/>
  <c r="E7" i="67"/>
  <c r="F4" i="68"/>
  <c r="F19" i="67" l="1"/>
  <c r="F19" i="68"/>
  <c r="G19" i="68"/>
  <c r="H19" i="68"/>
  <c r="I19" i="68"/>
  <c r="J19" i="68"/>
  <c r="K19" i="68"/>
  <c r="L19" i="68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AB72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AB73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AB74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F76" i="71"/>
  <c r="G76" i="71"/>
  <c r="H76" i="71"/>
  <c r="I76" i="71"/>
  <c r="J76" i="71"/>
  <c r="K76" i="71"/>
  <c r="L76" i="71"/>
  <c r="M76" i="71"/>
  <c r="N76" i="71"/>
  <c r="O76" i="71"/>
  <c r="P76" i="71"/>
  <c r="Q76" i="71"/>
  <c r="R76" i="71"/>
  <c r="S76" i="71"/>
  <c r="T76" i="71"/>
  <c r="U76" i="71"/>
  <c r="V76" i="71"/>
  <c r="W76" i="71"/>
  <c r="X76" i="71"/>
  <c r="Y76" i="71"/>
  <c r="Z76" i="71"/>
  <c r="AA76" i="71"/>
  <c r="AB76" i="71"/>
  <c r="F77" i="71"/>
  <c r="G77" i="71"/>
  <c r="H77" i="71"/>
  <c r="I77" i="71"/>
  <c r="J77" i="71"/>
  <c r="K77" i="71"/>
  <c r="L77" i="71"/>
  <c r="M77" i="71"/>
  <c r="N77" i="71"/>
  <c r="O77" i="71"/>
  <c r="P77" i="71"/>
  <c r="Q77" i="71"/>
  <c r="R77" i="71"/>
  <c r="S77" i="71"/>
  <c r="T77" i="71"/>
  <c r="U77" i="71"/>
  <c r="V77" i="71"/>
  <c r="W77" i="71"/>
  <c r="X77" i="71"/>
  <c r="Y77" i="71"/>
  <c r="Z77" i="71"/>
  <c r="AA77" i="71"/>
  <c r="AB77" i="71"/>
  <c r="F78" i="71"/>
  <c r="G78" i="71"/>
  <c r="H78" i="71"/>
  <c r="I78" i="71"/>
  <c r="J78" i="71"/>
  <c r="K78" i="71"/>
  <c r="L78" i="71"/>
  <c r="M78" i="71"/>
  <c r="N78" i="71"/>
  <c r="O78" i="71"/>
  <c r="P78" i="71"/>
  <c r="Q78" i="71"/>
  <c r="R78" i="71"/>
  <c r="S78" i="71"/>
  <c r="T78" i="71"/>
  <c r="U78" i="71"/>
  <c r="V78" i="71"/>
  <c r="W78" i="71"/>
  <c r="X78" i="71"/>
  <c r="Y78" i="71"/>
  <c r="Z78" i="71"/>
  <c r="AA78" i="71"/>
  <c r="AB78" i="71"/>
  <c r="F79" i="71"/>
  <c r="G79" i="71"/>
  <c r="H79" i="71"/>
  <c r="I79" i="71"/>
  <c r="J79" i="71"/>
  <c r="K79" i="71"/>
  <c r="L79" i="71"/>
  <c r="M79" i="71"/>
  <c r="N79" i="71"/>
  <c r="O79" i="71"/>
  <c r="P79" i="71"/>
  <c r="Q79" i="71"/>
  <c r="R79" i="71"/>
  <c r="S79" i="71"/>
  <c r="T79" i="71"/>
  <c r="U79" i="71"/>
  <c r="V79" i="71"/>
  <c r="W79" i="71"/>
  <c r="X79" i="71"/>
  <c r="Y79" i="71"/>
  <c r="Z79" i="71"/>
  <c r="AA79" i="71"/>
  <c r="AB79" i="71"/>
  <c r="F80" i="71"/>
  <c r="G80" i="71"/>
  <c r="H80" i="71"/>
  <c r="I80" i="71"/>
  <c r="J80" i="71"/>
  <c r="K80" i="71"/>
  <c r="L80" i="71"/>
  <c r="M80" i="71"/>
  <c r="N80" i="71"/>
  <c r="O80" i="71"/>
  <c r="P80" i="71"/>
  <c r="Q80" i="71"/>
  <c r="R80" i="71"/>
  <c r="S80" i="71"/>
  <c r="T80" i="71"/>
  <c r="U80" i="71"/>
  <c r="V80" i="71"/>
  <c r="W80" i="71"/>
  <c r="X80" i="71"/>
  <c r="Y80" i="71"/>
  <c r="Z80" i="71"/>
  <c r="AA80" i="71"/>
  <c r="AB80" i="71"/>
  <c r="F81" i="71"/>
  <c r="G81" i="71"/>
  <c r="H81" i="71"/>
  <c r="I81" i="71"/>
  <c r="J81" i="71"/>
  <c r="K81" i="71"/>
  <c r="L81" i="71"/>
  <c r="M81" i="71"/>
  <c r="N81" i="71"/>
  <c r="O81" i="71"/>
  <c r="P81" i="71"/>
  <c r="Q81" i="71"/>
  <c r="R81" i="71"/>
  <c r="S81" i="71"/>
  <c r="T81" i="71"/>
  <c r="U81" i="71"/>
  <c r="V81" i="71"/>
  <c r="W81" i="71"/>
  <c r="X81" i="71"/>
  <c r="Y81" i="71"/>
  <c r="Z81" i="71"/>
  <c r="AA81" i="71"/>
  <c r="AB81" i="71"/>
  <c r="F82" i="71"/>
  <c r="G82" i="71"/>
  <c r="H82" i="71"/>
  <c r="I82" i="71"/>
  <c r="J82" i="71"/>
  <c r="K82" i="71"/>
  <c r="L82" i="71"/>
  <c r="M82" i="71"/>
  <c r="N82" i="71"/>
  <c r="O82" i="71"/>
  <c r="P82" i="71"/>
  <c r="Q82" i="71"/>
  <c r="R82" i="71"/>
  <c r="S82" i="71"/>
  <c r="T82" i="71"/>
  <c r="U82" i="71"/>
  <c r="V82" i="71"/>
  <c r="W82" i="71"/>
  <c r="X82" i="71"/>
  <c r="Y82" i="71"/>
  <c r="Z82" i="71"/>
  <c r="AA82" i="71"/>
  <c r="AB82" i="71"/>
  <c r="E73" i="71"/>
  <c r="E74" i="71"/>
  <c r="E75" i="71"/>
  <c r="E76" i="71"/>
  <c r="E77" i="71"/>
  <c r="E78" i="71"/>
  <c r="E79" i="71"/>
  <c r="E80" i="71"/>
  <c r="E81" i="71"/>
  <c r="E82" i="71"/>
  <c r="E72" i="71"/>
  <c r="F28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E28" i="71"/>
  <c r="E3" i="71"/>
  <c r="E18" i="71" s="1"/>
  <c r="F3" i="71"/>
  <c r="F18" i="71" s="1"/>
  <c r="G3" i="71"/>
  <c r="G18" i="71" s="1"/>
  <c r="H3" i="71"/>
  <c r="H18" i="71" s="1"/>
  <c r="I3" i="71"/>
  <c r="I18" i="71" s="1"/>
  <c r="J3" i="71"/>
  <c r="J18" i="71" s="1"/>
  <c r="K3" i="71"/>
  <c r="K18" i="71" s="1"/>
  <c r="L3" i="71"/>
  <c r="L18" i="71" s="1"/>
  <c r="M3" i="71"/>
  <c r="M18" i="71" s="1"/>
  <c r="N3" i="71"/>
  <c r="O3" i="71"/>
  <c r="O18" i="71" s="1"/>
  <c r="P3" i="71"/>
  <c r="P18" i="71" s="1"/>
  <c r="Q3" i="71"/>
  <c r="Q18" i="71" s="1"/>
  <c r="R3" i="71"/>
  <c r="R18" i="71" s="1"/>
  <c r="S3" i="71"/>
  <c r="S18" i="71" s="1"/>
  <c r="T3" i="71"/>
  <c r="T18" i="71" s="1"/>
  <c r="U3" i="71"/>
  <c r="U18" i="71" s="1"/>
  <c r="V3" i="71"/>
  <c r="V18" i="71" s="1"/>
  <c r="W3" i="71"/>
  <c r="W18" i="71" s="1"/>
  <c r="X3" i="71"/>
  <c r="X18" i="71" s="1"/>
  <c r="Y3" i="71"/>
  <c r="Y18" i="71" s="1"/>
  <c r="Z3" i="71"/>
  <c r="Z18" i="71" s="1"/>
  <c r="AA3" i="71"/>
  <c r="AA18" i="71" s="1"/>
  <c r="AB3" i="71"/>
  <c r="AB18" i="71" s="1"/>
  <c r="E4" i="71"/>
  <c r="E19" i="71" s="1"/>
  <c r="F4" i="71"/>
  <c r="F19" i="71" s="1"/>
  <c r="G4" i="71"/>
  <c r="G19" i="71" s="1"/>
  <c r="H4" i="71"/>
  <c r="H19" i="71" s="1"/>
  <c r="I4" i="71"/>
  <c r="I19" i="71" s="1"/>
  <c r="J4" i="71"/>
  <c r="J19" i="71" s="1"/>
  <c r="K4" i="71"/>
  <c r="K19" i="71" s="1"/>
  <c r="L4" i="71"/>
  <c r="L19" i="71" s="1"/>
  <c r="M4" i="71"/>
  <c r="M19" i="71" s="1"/>
  <c r="N4" i="71"/>
  <c r="N19" i="71" s="1"/>
  <c r="O4" i="71"/>
  <c r="O19" i="71" s="1"/>
  <c r="P4" i="71"/>
  <c r="P19" i="71" s="1"/>
  <c r="Q4" i="71"/>
  <c r="Q19" i="71" s="1"/>
  <c r="R4" i="71"/>
  <c r="R19" i="71" s="1"/>
  <c r="S4" i="71"/>
  <c r="S19" i="71" s="1"/>
  <c r="T4" i="71"/>
  <c r="T19" i="71" s="1"/>
  <c r="U4" i="71"/>
  <c r="U19" i="71" s="1"/>
  <c r="V4" i="71"/>
  <c r="V19" i="71" s="1"/>
  <c r="W4" i="71"/>
  <c r="W19" i="71" s="1"/>
  <c r="X4" i="71"/>
  <c r="X19" i="71" s="1"/>
  <c r="Y4" i="71"/>
  <c r="Y19" i="71" s="1"/>
  <c r="Z4" i="71"/>
  <c r="Z19" i="71" s="1"/>
  <c r="AA4" i="71"/>
  <c r="AA19" i="71" s="1"/>
  <c r="AB4" i="71"/>
  <c r="AB19" i="71" s="1"/>
  <c r="E5" i="71"/>
  <c r="E20" i="71" s="1"/>
  <c r="F5" i="71"/>
  <c r="F20" i="71" s="1"/>
  <c r="G5" i="71"/>
  <c r="G20" i="71" s="1"/>
  <c r="H5" i="71"/>
  <c r="H20" i="71" s="1"/>
  <c r="I5" i="71"/>
  <c r="I20" i="71" s="1"/>
  <c r="J5" i="71"/>
  <c r="J20" i="71" s="1"/>
  <c r="K5" i="71"/>
  <c r="K20" i="71" s="1"/>
  <c r="L5" i="71"/>
  <c r="L20" i="71" s="1"/>
  <c r="M5" i="71"/>
  <c r="M20" i="71" s="1"/>
  <c r="N5" i="71"/>
  <c r="N20" i="71" s="1"/>
  <c r="O5" i="71"/>
  <c r="O20" i="71" s="1"/>
  <c r="P5" i="71"/>
  <c r="P20" i="71" s="1"/>
  <c r="Q5" i="71"/>
  <c r="Q20" i="71" s="1"/>
  <c r="R5" i="71"/>
  <c r="R20" i="71" s="1"/>
  <c r="S5" i="71"/>
  <c r="S20" i="71" s="1"/>
  <c r="T5" i="71"/>
  <c r="T20" i="71" s="1"/>
  <c r="U5" i="71"/>
  <c r="U20" i="71" s="1"/>
  <c r="V5" i="71"/>
  <c r="V20" i="71" s="1"/>
  <c r="W5" i="71"/>
  <c r="W20" i="71" s="1"/>
  <c r="X5" i="71"/>
  <c r="X20" i="71" s="1"/>
  <c r="Y5" i="71"/>
  <c r="Y20" i="71" s="1"/>
  <c r="Z5" i="71"/>
  <c r="Z20" i="71" s="1"/>
  <c r="AA5" i="71"/>
  <c r="AA20" i="71" s="1"/>
  <c r="AB5" i="71"/>
  <c r="AB20" i="71" s="1"/>
  <c r="E6" i="71"/>
  <c r="E21" i="71" s="1"/>
  <c r="F6" i="71"/>
  <c r="F21" i="71" s="1"/>
  <c r="G6" i="71"/>
  <c r="G21" i="71" s="1"/>
  <c r="H6" i="71"/>
  <c r="H21" i="71" s="1"/>
  <c r="I6" i="71"/>
  <c r="I21" i="71" s="1"/>
  <c r="J6" i="71"/>
  <c r="J21" i="71" s="1"/>
  <c r="K6" i="71"/>
  <c r="K21" i="71" s="1"/>
  <c r="L6" i="71"/>
  <c r="L21" i="71" s="1"/>
  <c r="M6" i="71"/>
  <c r="M21" i="71" s="1"/>
  <c r="N6" i="71"/>
  <c r="N21" i="71" s="1"/>
  <c r="O6" i="71"/>
  <c r="O21" i="71" s="1"/>
  <c r="P6" i="71"/>
  <c r="P21" i="71" s="1"/>
  <c r="Q6" i="71"/>
  <c r="Q21" i="71" s="1"/>
  <c r="R6" i="71"/>
  <c r="R21" i="71" s="1"/>
  <c r="S6" i="71"/>
  <c r="S21" i="71" s="1"/>
  <c r="T6" i="71"/>
  <c r="T21" i="71" s="1"/>
  <c r="U6" i="71"/>
  <c r="U21" i="71" s="1"/>
  <c r="V6" i="71"/>
  <c r="V21" i="71" s="1"/>
  <c r="W6" i="71"/>
  <c r="W21" i="71" s="1"/>
  <c r="X6" i="71"/>
  <c r="X21" i="71" s="1"/>
  <c r="Y6" i="71"/>
  <c r="Y21" i="71" s="1"/>
  <c r="Z6" i="71"/>
  <c r="Z21" i="71" s="1"/>
  <c r="AA6" i="71"/>
  <c r="AA21" i="71" s="1"/>
  <c r="AB6" i="71"/>
  <c r="AB21" i="71" s="1"/>
  <c r="E7" i="71"/>
  <c r="E22" i="71" s="1"/>
  <c r="F7" i="71"/>
  <c r="F22" i="71" s="1"/>
  <c r="G7" i="71"/>
  <c r="G22" i="71" s="1"/>
  <c r="H7" i="71"/>
  <c r="H22" i="71" s="1"/>
  <c r="I7" i="71"/>
  <c r="I22" i="71" s="1"/>
  <c r="J7" i="71"/>
  <c r="J22" i="71" s="1"/>
  <c r="K7" i="71"/>
  <c r="K22" i="71" s="1"/>
  <c r="L7" i="71"/>
  <c r="L22" i="71" s="1"/>
  <c r="M7" i="71"/>
  <c r="M22" i="71" s="1"/>
  <c r="N7" i="71"/>
  <c r="N22" i="71" s="1"/>
  <c r="O7" i="71"/>
  <c r="O22" i="71" s="1"/>
  <c r="P7" i="71"/>
  <c r="P22" i="71" s="1"/>
  <c r="Q7" i="71"/>
  <c r="Q22" i="71" s="1"/>
  <c r="R7" i="71"/>
  <c r="R22" i="71" s="1"/>
  <c r="S7" i="71"/>
  <c r="S22" i="71" s="1"/>
  <c r="T7" i="71"/>
  <c r="T22" i="71" s="1"/>
  <c r="U7" i="71"/>
  <c r="U22" i="71" s="1"/>
  <c r="V7" i="71"/>
  <c r="V22" i="71" s="1"/>
  <c r="W7" i="71"/>
  <c r="W22" i="71" s="1"/>
  <c r="X7" i="71"/>
  <c r="X22" i="71" s="1"/>
  <c r="Y7" i="71"/>
  <c r="Y22" i="71" s="1"/>
  <c r="Z7" i="71"/>
  <c r="Z22" i="71" s="1"/>
  <c r="AA7" i="71"/>
  <c r="AA22" i="71" s="1"/>
  <c r="AB7" i="71"/>
  <c r="AB22" i="71" s="1"/>
  <c r="E8" i="71"/>
  <c r="E23" i="71" s="1"/>
  <c r="F8" i="71"/>
  <c r="F23" i="71" s="1"/>
  <c r="G8" i="71"/>
  <c r="G23" i="71" s="1"/>
  <c r="H8" i="71"/>
  <c r="H23" i="71" s="1"/>
  <c r="I8" i="71"/>
  <c r="I23" i="71" s="1"/>
  <c r="J8" i="71"/>
  <c r="J23" i="71" s="1"/>
  <c r="K8" i="71"/>
  <c r="K23" i="71" s="1"/>
  <c r="L8" i="71"/>
  <c r="L23" i="71" s="1"/>
  <c r="M8" i="71"/>
  <c r="M23" i="71" s="1"/>
  <c r="N8" i="71"/>
  <c r="N23" i="71" s="1"/>
  <c r="O8" i="71"/>
  <c r="O23" i="71" s="1"/>
  <c r="P8" i="71"/>
  <c r="P23" i="71" s="1"/>
  <c r="Q8" i="71"/>
  <c r="Q23" i="71" s="1"/>
  <c r="R8" i="71"/>
  <c r="R23" i="71" s="1"/>
  <c r="S8" i="71"/>
  <c r="S23" i="71" s="1"/>
  <c r="T8" i="71"/>
  <c r="T23" i="71" s="1"/>
  <c r="U8" i="71"/>
  <c r="U23" i="71" s="1"/>
  <c r="V8" i="71"/>
  <c r="V23" i="71" s="1"/>
  <c r="W8" i="71"/>
  <c r="W23" i="71" s="1"/>
  <c r="X8" i="71"/>
  <c r="X23" i="71" s="1"/>
  <c r="Y8" i="71"/>
  <c r="Y23" i="71" s="1"/>
  <c r="Z8" i="71"/>
  <c r="Z23" i="71" s="1"/>
  <c r="AA8" i="71"/>
  <c r="AA23" i="71" s="1"/>
  <c r="AB8" i="71"/>
  <c r="AB23" i="71" s="1"/>
  <c r="E9" i="71"/>
  <c r="E24" i="71" s="1"/>
  <c r="F9" i="71"/>
  <c r="F24" i="71" s="1"/>
  <c r="G9" i="71"/>
  <c r="G24" i="71" s="1"/>
  <c r="H9" i="71"/>
  <c r="H24" i="71" s="1"/>
  <c r="I9" i="71"/>
  <c r="I24" i="71" s="1"/>
  <c r="J9" i="71"/>
  <c r="J24" i="71" s="1"/>
  <c r="K9" i="71"/>
  <c r="K24" i="71" s="1"/>
  <c r="L9" i="71"/>
  <c r="L24" i="71" s="1"/>
  <c r="M9" i="71"/>
  <c r="M24" i="71" s="1"/>
  <c r="N9" i="71"/>
  <c r="N24" i="71" s="1"/>
  <c r="O9" i="71"/>
  <c r="O24" i="71" s="1"/>
  <c r="P9" i="71"/>
  <c r="P24" i="71" s="1"/>
  <c r="Q9" i="71"/>
  <c r="Q24" i="71" s="1"/>
  <c r="R9" i="71"/>
  <c r="R24" i="71" s="1"/>
  <c r="S9" i="71"/>
  <c r="S24" i="71" s="1"/>
  <c r="T9" i="71"/>
  <c r="T24" i="71" s="1"/>
  <c r="U9" i="71"/>
  <c r="U24" i="71" s="1"/>
  <c r="V9" i="71"/>
  <c r="V24" i="71" s="1"/>
  <c r="W9" i="71"/>
  <c r="W24" i="71" s="1"/>
  <c r="X9" i="71"/>
  <c r="X24" i="71" s="1"/>
  <c r="Y9" i="71"/>
  <c r="Y24" i="71" s="1"/>
  <c r="Z9" i="71"/>
  <c r="Z24" i="71" s="1"/>
  <c r="AA9" i="71"/>
  <c r="AA24" i="71" s="1"/>
  <c r="AB9" i="71"/>
  <c r="AB24" i="71" s="1"/>
  <c r="E10" i="71"/>
  <c r="E25" i="71" s="1"/>
  <c r="F10" i="71"/>
  <c r="F25" i="71" s="1"/>
  <c r="G10" i="71"/>
  <c r="G25" i="71" s="1"/>
  <c r="H10" i="71"/>
  <c r="H25" i="71" s="1"/>
  <c r="I10" i="71"/>
  <c r="I25" i="71" s="1"/>
  <c r="J10" i="71"/>
  <c r="J25" i="71" s="1"/>
  <c r="K10" i="71"/>
  <c r="K25" i="71" s="1"/>
  <c r="L10" i="71"/>
  <c r="L25" i="71" s="1"/>
  <c r="M10" i="71"/>
  <c r="M25" i="71" s="1"/>
  <c r="N10" i="71"/>
  <c r="N25" i="71" s="1"/>
  <c r="O10" i="71"/>
  <c r="O25" i="71" s="1"/>
  <c r="P10" i="71"/>
  <c r="P25" i="71" s="1"/>
  <c r="Q10" i="71"/>
  <c r="Q25" i="71" s="1"/>
  <c r="R10" i="71"/>
  <c r="R25" i="71" s="1"/>
  <c r="S10" i="71"/>
  <c r="S25" i="71" s="1"/>
  <c r="T10" i="71"/>
  <c r="T25" i="71" s="1"/>
  <c r="U10" i="71"/>
  <c r="U25" i="71" s="1"/>
  <c r="V10" i="71"/>
  <c r="V25" i="71" s="1"/>
  <c r="W10" i="71"/>
  <c r="W25" i="71" s="1"/>
  <c r="X10" i="71"/>
  <c r="X25" i="71" s="1"/>
  <c r="Y10" i="71"/>
  <c r="Y25" i="71" s="1"/>
  <c r="Z10" i="71"/>
  <c r="Z25" i="71" s="1"/>
  <c r="AA10" i="71"/>
  <c r="AA25" i="71" s="1"/>
  <c r="AB10" i="71"/>
  <c r="AB25" i="71" s="1"/>
  <c r="E11" i="71"/>
  <c r="E26" i="71" s="1"/>
  <c r="F11" i="71"/>
  <c r="F26" i="71" s="1"/>
  <c r="G11" i="71"/>
  <c r="G26" i="71" s="1"/>
  <c r="H11" i="71"/>
  <c r="H26" i="71" s="1"/>
  <c r="I11" i="71"/>
  <c r="I26" i="71" s="1"/>
  <c r="J11" i="71"/>
  <c r="J26" i="71" s="1"/>
  <c r="K11" i="71"/>
  <c r="K26" i="71" s="1"/>
  <c r="L11" i="71"/>
  <c r="L26" i="71" s="1"/>
  <c r="M11" i="71"/>
  <c r="M26" i="71" s="1"/>
  <c r="N11" i="71"/>
  <c r="N26" i="71" s="1"/>
  <c r="O11" i="71"/>
  <c r="O26" i="71" s="1"/>
  <c r="P11" i="71"/>
  <c r="P26" i="71" s="1"/>
  <c r="Q11" i="71"/>
  <c r="Q26" i="71" s="1"/>
  <c r="R11" i="71"/>
  <c r="R26" i="71" s="1"/>
  <c r="S11" i="71"/>
  <c r="S26" i="71" s="1"/>
  <c r="T11" i="71"/>
  <c r="T26" i="71" s="1"/>
  <c r="U11" i="71"/>
  <c r="U26" i="71" s="1"/>
  <c r="V11" i="71"/>
  <c r="V26" i="71" s="1"/>
  <c r="W11" i="71"/>
  <c r="W26" i="71" s="1"/>
  <c r="X11" i="71"/>
  <c r="X26" i="71" s="1"/>
  <c r="Y11" i="71"/>
  <c r="Y26" i="71" s="1"/>
  <c r="Z11" i="71"/>
  <c r="Z26" i="71" s="1"/>
  <c r="AA11" i="71"/>
  <c r="AA26" i="71" s="1"/>
  <c r="AB11" i="71"/>
  <c r="AB26" i="71" s="1"/>
  <c r="E12" i="71"/>
  <c r="E27" i="71" s="1"/>
  <c r="F12" i="71"/>
  <c r="F27" i="71" s="1"/>
  <c r="G12" i="71"/>
  <c r="G27" i="71" s="1"/>
  <c r="H12" i="71"/>
  <c r="H27" i="71" s="1"/>
  <c r="I12" i="71"/>
  <c r="I27" i="71" s="1"/>
  <c r="J12" i="71"/>
  <c r="J27" i="71" s="1"/>
  <c r="K12" i="71"/>
  <c r="K27" i="71" s="1"/>
  <c r="L12" i="71"/>
  <c r="L27" i="71" s="1"/>
  <c r="M12" i="71"/>
  <c r="M27" i="71" s="1"/>
  <c r="N12" i="71"/>
  <c r="N27" i="71" s="1"/>
  <c r="O12" i="71"/>
  <c r="O27" i="71" s="1"/>
  <c r="P12" i="71"/>
  <c r="P27" i="71" s="1"/>
  <c r="Q12" i="71"/>
  <c r="Q27" i="71" s="1"/>
  <c r="R12" i="71"/>
  <c r="R27" i="71" s="1"/>
  <c r="S12" i="71"/>
  <c r="S27" i="71" s="1"/>
  <c r="T12" i="71"/>
  <c r="T27" i="71" s="1"/>
  <c r="U12" i="71"/>
  <c r="U27" i="71" s="1"/>
  <c r="V12" i="71"/>
  <c r="V27" i="71" s="1"/>
  <c r="W12" i="71"/>
  <c r="W27" i="71" s="1"/>
  <c r="X12" i="71"/>
  <c r="X27" i="71" s="1"/>
  <c r="Y12" i="71"/>
  <c r="Y27" i="71" s="1"/>
  <c r="Z12" i="71"/>
  <c r="Z27" i="71" s="1"/>
  <c r="AA12" i="71"/>
  <c r="AA27" i="71" s="1"/>
  <c r="AB12" i="71"/>
  <c r="AB27" i="71" s="1"/>
  <c r="F2" i="71"/>
  <c r="F17" i="71" s="1"/>
  <c r="G2" i="71"/>
  <c r="H2" i="71"/>
  <c r="H17" i="71" s="1"/>
  <c r="I2" i="71"/>
  <c r="J2" i="71"/>
  <c r="J17" i="71" s="1"/>
  <c r="K2" i="71"/>
  <c r="K17" i="71" s="1"/>
  <c r="L2" i="71"/>
  <c r="L17" i="71" s="1"/>
  <c r="M2" i="71"/>
  <c r="N2" i="71"/>
  <c r="N17" i="71" s="1"/>
  <c r="O2" i="71"/>
  <c r="P2" i="71"/>
  <c r="P17" i="71" s="1"/>
  <c r="Q2" i="71"/>
  <c r="R2" i="71"/>
  <c r="R17" i="71" s="1"/>
  <c r="S2" i="71"/>
  <c r="S17" i="71" s="1"/>
  <c r="T2" i="71"/>
  <c r="T17" i="71" s="1"/>
  <c r="U2" i="71"/>
  <c r="V2" i="71"/>
  <c r="V17" i="71" s="1"/>
  <c r="W2" i="71"/>
  <c r="X2" i="71"/>
  <c r="X17" i="71" s="1"/>
  <c r="Y2" i="71"/>
  <c r="Z2" i="71"/>
  <c r="Z17" i="71" s="1"/>
  <c r="AA2" i="71"/>
  <c r="AA17" i="71" s="1"/>
  <c r="AB2" i="71"/>
  <c r="AB17" i="71" s="1"/>
  <c r="E2" i="71"/>
  <c r="E17" i="71" s="1"/>
  <c r="E55" i="70"/>
  <c r="F55" i="70"/>
  <c r="G55" i="70"/>
  <c r="H55" i="70"/>
  <c r="I55" i="70"/>
  <c r="J55" i="70"/>
  <c r="K55" i="70"/>
  <c r="L55" i="70"/>
  <c r="E56" i="70"/>
  <c r="F56" i="70"/>
  <c r="G56" i="70"/>
  <c r="H56" i="70"/>
  <c r="I56" i="70"/>
  <c r="J56" i="70"/>
  <c r="K56" i="70"/>
  <c r="L56" i="70"/>
  <c r="E57" i="70"/>
  <c r="F57" i="70"/>
  <c r="G57" i="70"/>
  <c r="H57" i="70"/>
  <c r="I57" i="70"/>
  <c r="J57" i="70"/>
  <c r="K57" i="70"/>
  <c r="L57" i="70"/>
  <c r="E58" i="70"/>
  <c r="F58" i="70"/>
  <c r="G58" i="70"/>
  <c r="H58" i="70"/>
  <c r="I58" i="70"/>
  <c r="J58" i="70"/>
  <c r="K58" i="70"/>
  <c r="L58" i="70"/>
  <c r="E59" i="70"/>
  <c r="F59" i="70"/>
  <c r="G59" i="70"/>
  <c r="H59" i="70"/>
  <c r="I59" i="70"/>
  <c r="J59" i="70"/>
  <c r="K59" i="70"/>
  <c r="L59" i="70"/>
  <c r="E60" i="70"/>
  <c r="F60" i="70"/>
  <c r="G60" i="70"/>
  <c r="H60" i="70"/>
  <c r="I60" i="70"/>
  <c r="J60" i="70"/>
  <c r="K60" i="70"/>
  <c r="L60" i="70"/>
  <c r="E61" i="70"/>
  <c r="F61" i="70"/>
  <c r="G61" i="70"/>
  <c r="H61" i="70"/>
  <c r="I61" i="70"/>
  <c r="J61" i="70"/>
  <c r="K61" i="70"/>
  <c r="L61" i="70"/>
  <c r="E62" i="70"/>
  <c r="F62" i="70"/>
  <c r="G62" i="70"/>
  <c r="H62" i="70"/>
  <c r="I62" i="70"/>
  <c r="J62" i="70"/>
  <c r="K62" i="70"/>
  <c r="L62" i="70"/>
  <c r="E63" i="70"/>
  <c r="F63" i="70"/>
  <c r="G63" i="70"/>
  <c r="H63" i="70"/>
  <c r="I63" i="70"/>
  <c r="J63" i="70"/>
  <c r="K63" i="70"/>
  <c r="L63" i="70"/>
  <c r="E64" i="70"/>
  <c r="F64" i="70"/>
  <c r="G64" i="70"/>
  <c r="H64" i="70"/>
  <c r="I64" i="70"/>
  <c r="J64" i="70"/>
  <c r="K64" i="70"/>
  <c r="L64" i="70"/>
  <c r="L54" i="70"/>
  <c r="K54" i="70"/>
  <c r="J54" i="70"/>
  <c r="I54" i="70"/>
  <c r="H54" i="70"/>
  <c r="G54" i="70"/>
  <c r="F54" i="70"/>
  <c r="E54" i="70"/>
  <c r="I40" i="70"/>
  <c r="J40" i="70"/>
  <c r="K40" i="70"/>
  <c r="L40" i="70"/>
  <c r="I41" i="70"/>
  <c r="I101" i="70" s="1"/>
  <c r="J41" i="70"/>
  <c r="K41" i="70"/>
  <c r="K101" i="70" s="1"/>
  <c r="L41" i="70"/>
  <c r="L101" i="70" s="1"/>
  <c r="I42" i="70"/>
  <c r="J42" i="70"/>
  <c r="K42" i="70"/>
  <c r="L42" i="70"/>
  <c r="I43" i="70"/>
  <c r="I103" i="70" s="1"/>
  <c r="J43" i="70"/>
  <c r="K43" i="70"/>
  <c r="K103" i="70" s="1"/>
  <c r="L43" i="70"/>
  <c r="L103" i="70" s="1"/>
  <c r="I44" i="70"/>
  <c r="J44" i="70"/>
  <c r="K44" i="70"/>
  <c r="L44" i="70"/>
  <c r="I45" i="70"/>
  <c r="I105" i="70" s="1"/>
  <c r="J45" i="70"/>
  <c r="J105" i="70" s="1"/>
  <c r="K45" i="70"/>
  <c r="K105" i="70" s="1"/>
  <c r="L45" i="70"/>
  <c r="L105" i="70" s="1"/>
  <c r="I46" i="70"/>
  <c r="J46" i="70"/>
  <c r="K46" i="70"/>
  <c r="L46" i="70"/>
  <c r="I47" i="70"/>
  <c r="I107" i="70" s="1"/>
  <c r="J47" i="70"/>
  <c r="K47" i="70"/>
  <c r="K107" i="70" s="1"/>
  <c r="L47" i="70"/>
  <c r="L107" i="70" s="1"/>
  <c r="I48" i="70"/>
  <c r="J48" i="70"/>
  <c r="K48" i="70"/>
  <c r="L48" i="70"/>
  <c r="I49" i="70"/>
  <c r="I109" i="70" s="1"/>
  <c r="J49" i="70"/>
  <c r="K49" i="70"/>
  <c r="K109" i="70" s="1"/>
  <c r="L49" i="70"/>
  <c r="L109" i="70" s="1"/>
  <c r="L39" i="70"/>
  <c r="L99" i="70" s="1"/>
  <c r="K39" i="70"/>
  <c r="K99" i="70" s="1"/>
  <c r="J39" i="70"/>
  <c r="J99" i="70" s="1"/>
  <c r="I39" i="70"/>
  <c r="I99" i="70" s="1"/>
  <c r="E40" i="70"/>
  <c r="E100" i="70" s="1"/>
  <c r="F40" i="70"/>
  <c r="F100" i="70" s="1"/>
  <c r="G40" i="70"/>
  <c r="G100" i="70" s="1"/>
  <c r="H40" i="70"/>
  <c r="H100" i="70" s="1"/>
  <c r="E41" i="70"/>
  <c r="E101" i="70" s="1"/>
  <c r="F41" i="70"/>
  <c r="G41" i="70"/>
  <c r="G101" i="70" s="1"/>
  <c r="H41" i="70"/>
  <c r="H101" i="70" s="1"/>
  <c r="E42" i="70"/>
  <c r="F42" i="70"/>
  <c r="F102" i="70" s="1"/>
  <c r="G42" i="70"/>
  <c r="G102" i="70" s="1"/>
  <c r="H42" i="70"/>
  <c r="H102" i="70" s="1"/>
  <c r="E43" i="70"/>
  <c r="E103" i="70" s="1"/>
  <c r="F43" i="70"/>
  <c r="F103" i="70" s="1"/>
  <c r="G43" i="70"/>
  <c r="G103" i="70" s="1"/>
  <c r="H43" i="70"/>
  <c r="E44" i="70"/>
  <c r="E104" i="70" s="1"/>
  <c r="F44" i="70"/>
  <c r="F104" i="70" s="1"/>
  <c r="G44" i="70"/>
  <c r="G104" i="70" s="1"/>
  <c r="H44" i="70"/>
  <c r="H104" i="70" s="1"/>
  <c r="E45" i="70"/>
  <c r="E105" i="70" s="1"/>
  <c r="F45" i="70"/>
  <c r="F105" i="70" s="1"/>
  <c r="G45" i="70"/>
  <c r="G105" i="70" s="1"/>
  <c r="H45" i="70"/>
  <c r="H105" i="70" s="1"/>
  <c r="E46" i="70"/>
  <c r="E106" i="70" s="1"/>
  <c r="F46" i="70"/>
  <c r="F106" i="70" s="1"/>
  <c r="G46" i="70"/>
  <c r="G106" i="70" s="1"/>
  <c r="H46" i="70"/>
  <c r="H106" i="70" s="1"/>
  <c r="E47" i="70"/>
  <c r="E107" i="70" s="1"/>
  <c r="F47" i="70"/>
  <c r="F107" i="70" s="1"/>
  <c r="G47" i="70"/>
  <c r="G107" i="70" s="1"/>
  <c r="H47" i="70"/>
  <c r="H107" i="70" s="1"/>
  <c r="E48" i="70"/>
  <c r="E108" i="70" s="1"/>
  <c r="F48" i="70"/>
  <c r="F108" i="70" s="1"/>
  <c r="G48" i="70"/>
  <c r="G108" i="70" s="1"/>
  <c r="H48" i="70"/>
  <c r="H108" i="70" s="1"/>
  <c r="E49" i="70"/>
  <c r="E109" i="70" s="1"/>
  <c r="F49" i="70"/>
  <c r="F109" i="70" s="1"/>
  <c r="G49" i="70"/>
  <c r="G109" i="70" s="1"/>
  <c r="H49" i="70"/>
  <c r="H109" i="70" s="1"/>
  <c r="H39" i="70"/>
  <c r="G39" i="70"/>
  <c r="G99" i="70" s="1"/>
  <c r="E39" i="70"/>
  <c r="F39" i="70"/>
  <c r="I3" i="70"/>
  <c r="J3" i="70"/>
  <c r="K3" i="70"/>
  <c r="L3" i="70"/>
  <c r="I4" i="70"/>
  <c r="J4" i="70"/>
  <c r="K4" i="70"/>
  <c r="L4" i="70"/>
  <c r="I5" i="70"/>
  <c r="J5" i="70"/>
  <c r="K5" i="70"/>
  <c r="L5" i="70"/>
  <c r="I6" i="70"/>
  <c r="J6" i="70"/>
  <c r="K6" i="70"/>
  <c r="L6" i="70"/>
  <c r="I7" i="70"/>
  <c r="J7" i="70"/>
  <c r="K7" i="70"/>
  <c r="L7" i="70"/>
  <c r="I8" i="70"/>
  <c r="J8" i="70"/>
  <c r="K8" i="70"/>
  <c r="L8" i="70"/>
  <c r="I9" i="70"/>
  <c r="J9" i="70"/>
  <c r="K9" i="70"/>
  <c r="L9" i="70"/>
  <c r="I10" i="70"/>
  <c r="J10" i="70"/>
  <c r="K10" i="70"/>
  <c r="L10" i="70"/>
  <c r="I11" i="70"/>
  <c r="J11" i="70"/>
  <c r="K11" i="70"/>
  <c r="L11" i="70"/>
  <c r="I12" i="70"/>
  <c r="J12" i="70"/>
  <c r="K12" i="70"/>
  <c r="L12" i="70"/>
  <c r="L2" i="70"/>
  <c r="K2" i="70"/>
  <c r="J2" i="70"/>
  <c r="I2" i="70"/>
  <c r="I14" i="70" s="1"/>
  <c r="H3" i="70"/>
  <c r="H4" i="70"/>
  <c r="H5" i="70"/>
  <c r="H6" i="70"/>
  <c r="H7" i="70"/>
  <c r="H8" i="70"/>
  <c r="H9" i="70"/>
  <c r="H10" i="70"/>
  <c r="H11" i="70"/>
  <c r="H12" i="70"/>
  <c r="H2" i="70"/>
  <c r="G3" i="70"/>
  <c r="G4" i="70"/>
  <c r="G5" i="70"/>
  <c r="G6" i="70"/>
  <c r="G7" i="70"/>
  <c r="G8" i="70"/>
  <c r="G9" i="70"/>
  <c r="G10" i="70"/>
  <c r="G11" i="70"/>
  <c r="G12" i="70"/>
  <c r="G2" i="70"/>
  <c r="F3" i="70"/>
  <c r="F4" i="70"/>
  <c r="F5" i="70"/>
  <c r="F6" i="70"/>
  <c r="F7" i="70"/>
  <c r="F8" i="70"/>
  <c r="F9" i="70"/>
  <c r="F10" i="70"/>
  <c r="F11" i="70"/>
  <c r="F12" i="70"/>
  <c r="F2" i="70"/>
  <c r="E2" i="70"/>
  <c r="E3" i="70"/>
  <c r="E4" i="70"/>
  <c r="E5" i="70"/>
  <c r="E6" i="70"/>
  <c r="E7" i="70"/>
  <c r="E8" i="70"/>
  <c r="E9" i="70"/>
  <c r="E10" i="70"/>
  <c r="E11" i="70"/>
  <c r="E12" i="70"/>
  <c r="F40" i="63"/>
  <c r="F41" i="63"/>
  <c r="F42" i="63"/>
  <c r="F43" i="63"/>
  <c r="F44" i="63"/>
  <c r="F45" i="63"/>
  <c r="F46" i="63"/>
  <c r="F47" i="63"/>
  <c r="F48" i="63"/>
  <c r="F49" i="63"/>
  <c r="F50" i="63"/>
  <c r="F39" i="63"/>
  <c r="E40" i="63"/>
  <c r="E41" i="63"/>
  <c r="E42" i="63"/>
  <c r="E43" i="63"/>
  <c r="E44" i="63"/>
  <c r="E45" i="63"/>
  <c r="E46" i="63"/>
  <c r="E47" i="63"/>
  <c r="E48" i="63"/>
  <c r="E49" i="63"/>
  <c r="E50" i="63"/>
  <c r="E39" i="63"/>
  <c r="H14" i="70" l="1"/>
  <c r="E14" i="70"/>
  <c r="E99" i="70"/>
  <c r="L108" i="70"/>
  <c r="L106" i="70"/>
  <c r="L104" i="70"/>
  <c r="L102" i="70"/>
  <c r="L100" i="70"/>
  <c r="L111" i="70" s="1"/>
  <c r="G14" i="70"/>
  <c r="K108" i="70"/>
  <c r="K106" i="70"/>
  <c r="K104" i="70"/>
  <c r="K102" i="70"/>
  <c r="K100" i="70"/>
  <c r="F99" i="70"/>
  <c r="V114" i="71"/>
  <c r="H21" i="70"/>
  <c r="H103" i="70"/>
  <c r="E114" i="71"/>
  <c r="U114" i="71"/>
  <c r="M114" i="71"/>
  <c r="V99" i="71"/>
  <c r="N99" i="71"/>
  <c r="F99" i="71"/>
  <c r="AB114" i="71"/>
  <c r="T114" i="71"/>
  <c r="L114" i="71"/>
  <c r="F19" i="70"/>
  <c r="F101" i="70"/>
  <c r="K111" i="70"/>
  <c r="J26" i="70"/>
  <c r="J108" i="70"/>
  <c r="J24" i="70"/>
  <c r="J106" i="70"/>
  <c r="J22" i="70"/>
  <c r="J104" i="70"/>
  <c r="J20" i="70"/>
  <c r="J102" i="70"/>
  <c r="J18" i="70"/>
  <c r="J100" i="70"/>
  <c r="AA114" i="71"/>
  <c r="S114" i="71"/>
  <c r="K114" i="71"/>
  <c r="F114" i="71"/>
  <c r="I108" i="70"/>
  <c r="I106" i="70"/>
  <c r="I104" i="70"/>
  <c r="I102" i="70"/>
  <c r="I100" i="70"/>
  <c r="Z114" i="71"/>
  <c r="R114" i="71"/>
  <c r="J114" i="71"/>
  <c r="H17" i="70"/>
  <c r="H99" i="70"/>
  <c r="H111" i="70" s="1"/>
  <c r="N114" i="71"/>
  <c r="Y114" i="71"/>
  <c r="Q114" i="71"/>
  <c r="I114" i="71"/>
  <c r="G111" i="70"/>
  <c r="X114" i="71"/>
  <c r="P114" i="71"/>
  <c r="H114" i="71"/>
  <c r="E20" i="70"/>
  <c r="E102" i="70"/>
  <c r="E111" i="70" s="1"/>
  <c r="J27" i="70"/>
  <c r="J109" i="70"/>
  <c r="J25" i="70"/>
  <c r="J107" i="70"/>
  <c r="J21" i="70"/>
  <c r="J103" i="70"/>
  <c r="J19" i="70"/>
  <c r="J101" i="70"/>
  <c r="W114" i="71"/>
  <c r="O114" i="71"/>
  <c r="G114" i="71"/>
  <c r="F72" i="70"/>
  <c r="AA99" i="71"/>
  <c r="S99" i="71"/>
  <c r="K99" i="71"/>
  <c r="W99" i="71"/>
  <c r="O99" i="71"/>
  <c r="G99" i="71"/>
  <c r="U99" i="71"/>
  <c r="M99" i="71"/>
  <c r="AB99" i="71"/>
  <c r="T99" i="71"/>
  <c r="L99" i="71"/>
  <c r="E99" i="71"/>
  <c r="H14" i="71"/>
  <c r="Z99" i="71"/>
  <c r="R99" i="71"/>
  <c r="J99" i="71"/>
  <c r="Y99" i="71"/>
  <c r="Q99" i="71"/>
  <c r="I99" i="71"/>
  <c r="X99" i="71"/>
  <c r="P99" i="71"/>
  <c r="H99" i="71"/>
  <c r="E22" i="70"/>
  <c r="I27" i="70"/>
  <c r="I23" i="70"/>
  <c r="I17" i="70"/>
  <c r="L26" i="70"/>
  <c r="L18" i="70"/>
  <c r="G27" i="70"/>
  <c r="G25" i="70"/>
  <c r="G23" i="70"/>
  <c r="G21" i="70"/>
  <c r="G19" i="70"/>
  <c r="K26" i="70"/>
  <c r="K24" i="70"/>
  <c r="K22" i="70"/>
  <c r="K20" i="70"/>
  <c r="K18" i="70"/>
  <c r="I19" i="70"/>
  <c r="L20" i="70"/>
  <c r="L14" i="70"/>
  <c r="L17" i="70"/>
  <c r="I26" i="70"/>
  <c r="I22" i="70"/>
  <c r="I20" i="70"/>
  <c r="I18" i="70"/>
  <c r="L22" i="70"/>
  <c r="K14" i="70"/>
  <c r="H26" i="70"/>
  <c r="H24" i="70"/>
  <c r="H22" i="70"/>
  <c r="H20" i="70"/>
  <c r="H18" i="70"/>
  <c r="L27" i="70"/>
  <c r="L25" i="70"/>
  <c r="L23" i="70"/>
  <c r="L21" i="70"/>
  <c r="L19" i="70"/>
  <c r="I25" i="70"/>
  <c r="I21" i="70"/>
  <c r="L24" i="70"/>
  <c r="J14" i="70"/>
  <c r="G17" i="70"/>
  <c r="G26" i="70"/>
  <c r="G24" i="70"/>
  <c r="G22" i="70"/>
  <c r="G20" i="70"/>
  <c r="G18" i="70"/>
  <c r="K27" i="70"/>
  <c r="K25" i="70"/>
  <c r="K23" i="70"/>
  <c r="K21" i="70"/>
  <c r="K19" i="70"/>
  <c r="U14" i="71"/>
  <c r="M14" i="71"/>
  <c r="Y14" i="71"/>
  <c r="Q14" i="71"/>
  <c r="I14" i="71"/>
  <c r="W14" i="71"/>
  <c r="O14" i="71"/>
  <c r="G14" i="71"/>
  <c r="E77" i="70"/>
  <c r="AA14" i="71"/>
  <c r="S14" i="71"/>
  <c r="Y17" i="71"/>
  <c r="Q17" i="71"/>
  <c r="I17" i="71"/>
  <c r="J51" i="70"/>
  <c r="F20" i="70"/>
  <c r="X14" i="71"/>
  <c r="P14" i="71"/>
  <c r="W17" i="71"/>
  <c r="O17" i="71"/>
  <c r="G17" i="71"/>
  <c r="E79" i="70"/>
  <c r="E75" i="70"/>
  <c r="E73" i="70"/>
  <c r="E71" i="70"/>
  <c r="N14" i="71"/>
  <c r="N18" i="71"/>
  <c r="U17" i="71"/>
  <c r="M17" i="71"/>
  <c r="E19" i="70"/>
  <c r="E23" i="70"/>
  <c r="AB14" i="71"/>
  <c r="T14" i="71"/>
  <c r="E76" i="70"/>
  <c r="E72" i="70"/>
  <c r="Z14" i="71"/>
  <c r="R14" i="71"/>
  <c r="V14" i="71"/>
  <c r="E27" i="70"/>
  <c r="G78" i="70"/>
  <c r="G74" i="70"/>
  <c r="G70" i="70"/>
  <c r="E70" i="70"/>
  <c r="H76" i="70"/>
  <c r="H72" i="70"/>
  <c r="K14" i="71"/>
  <c r="E74" i="70"/>
  <c r="E18" i="70"/>
  <c r="E24" i="70"/>
  <c r="I76" i="70"/>
  <c r="E51" i="70"/>
  <c r="E29" i="70" s="1"/>
  <c r="K77" i="70"/>
  <c r="K71" i="70"/>
  <c r="L14" i="71"/>
  <c r="J14" i="71"/>
  <c r="G79" i="70"/>
  <c r="I69" i="70"/>
  <c r="H77" i="70"/>
  <c r="H73" i="70"/>
  <c r="G77" i="70"/>
  <c r="K69" i="70"/>
  <c r="G75" i="70"/>
  <c r="G71" i="70"/>
  <c r="K79" i="70"/>
  <c r="K75" i="70"/>
  <c r="K73" i="70"/>
  <c r="G73" i="70"/>
  <c r="G66" i="70"/>
  <c r="I79" i="70"/>
  <c r="I75" i="70"/>
  <c r="I71" i="70"/>
  <c r="H79" i="70"/>
  <c r="H75" i="70"/>
  <c r="H71" i="70"/>
  <c r="H66" i="70"/>
  <c r="I77" i="70"/>
  <c r="I73" i="70"/>
  <c r="H25" i="70"/>
  <c r="E14" i="71"/>
  <c r="F14" i="71"/>
  <c r="K51" i="70"/>
  <c r="K29" i="70" s="1"/>
  <c r="J69" i="70"/>
  <c r="G76" i="70"/>
  <c r="G72" i="70"/>
  <c r="F78" i="70"/>
  <c r="F74" i="70"/>
  <c r="F70" i="70"/>
  <c r="I66" i="70"/>
  <c r="J23" i="70"/>
  <c r="E69" i="70"/>
  <c r="L78" i="70"/>
  <c r="L77" i="70"/>
  <c r="L74" i="70"/>
  <c r="L73" i="70"/>
  <c r="L70" i="70"/>
  <c r="H27" i="70"/>
  <c r="H23" i="70"/>
  <c r="H19" i="70"/>
  <c r="F51" i="70"/>
  <c r="K78" i="70"/>
  <c r="K74" i="70"/>
  <c r="K70" i="70"/>
  <c r="J79" i="70"/>
  <c r="J77" i="70"/>
  <c r="J76" i="70"/>
  <c r="J75" i="70"/>
  <c r="J73" i="70"/>
  <c r="J72" i="70"/>
  <c r="I72" i="70"/>
  <c r="L51" i="70"/>
  <c r="L29" i="70" s="1"/>
  <c r="I24" i="70"/>
  <c r="K17" i="70"/>
  <c r="H51" i="70"/>
  <c r="H29" i="70" s="1"/>
  <c r="J17" i="70"/>
  <c r="G51" i="70"/>
  <c r="G29" i="70" s="1"/>
  <c r="J66" i="70"/>
  <c r="L79" i="70"/>
  <c r="J78" i="70"/>
  <c r="L75" i="70"/>
  <c r="J74" i="70"/>
  <c r="L71" i="70"/>
  <c r="J70" i="70"/>
  <c r="H69" i="70"/>
  <c r="I51" i="70"/>
  <c r="I78" i="70"/>
  <c r="I74" i="70"/>
  <c r="I70" i="70"/>
  <c r="G69" i="70"/>
  <c r="L66" i="70"/>
  <c r="H78" i="70"/>
  <c r="L76" i="70"/>
  <c r="H74" i="70"/>
  <c r="L72" i="70"/>
  <c r="J71" i="70"/>
  <c r="H70" i="70"/>
  <c r="K76" i="70"/>
  <c r="K72" i="70"/>
  <c r="K66" i="70"/>
  <c r="L69" i="70"/>
  <c r="E26" i="70"/>
  <c r="F26" i="70"/>
  <c r="F21" i="70"/>
  <c r="F22" i="70"/>
  <c r="F25" i="70"/>
  <c r="F69" i="70"/>
  <c r="F73" i="70"/>
  <c r="F77" i="70"/>
  <c r="F18" i="70"/>
  <c r="F27" i="70"/>
  <c r="F23" i="70"/>
  <c r="F76" i="70"/>
  <c r="F17" i="70"/>
  <c r="F71" i="70"/>
  <c r="F75" i="70"/>
  <c r="F79" i="70"/>
  <c r="F14" i="70"/>
  <c r="F24" i="70"/>
  <c r="E17" i="70"/>
  <c r="E21" i="70"/>
  <c r="E25" i="70"/>
  <c r="E66" i="70"/>
  <c r="F66" i="70"/>
  <c r="F111" i="70" l="1"/>
  <c r="J111" i="70"/>
  <c r="I111" i="70"/>
  <c r="J81" i="70"/>
  <c r="J29" i="70"/>
  <c r="E96" i="70"/>
  <c r="K81" i="70"/>
  <c r="H96" i="70"/>
  <c r="K96" i="70"/>
  <c r="G96" i="70"/>
  <c r="L81" i="70"/>
  <c r="I29" i="70"/>
  <c r="I81" i="70"/>
  <c r="L96" i="70"/>
  <c r="I96" i="70"/>
  <c r="G81" i="70"/>
  <c r="H81" i="70"/>
  <c r="J96" i="70"/>
  <c r="F96" i="70"/>
  <c r="F29" i="70"/>
  <c r="E81" i="70"/>
  <c r="F81" i="70"/>
  <c r="F55" i="63" l="1"/>
  <c r="F100" i="63" s="1"/>
  <c r="F56" i="63"/>
  <c r="F101" i="63" s="1"/>
  <c r="F57" i="63"/>
  <c r="F102" i="63" s="1"/>
  <c r="F58" i="63"/>
  <c r="F103" i="63" s="1"/>
  <c r="F59" i="63"/>
  <c r="F104" i="63" s="1"/>
  <c r="F60" i="63"/>
  <c r="F105" i="63" s="1"/>
  <c r="F61" i="63"/>
  <c r="F106" i="63" s="1"/>
  <c r="F62" i="63"/>
  <c r="F107" i="63" s="1"/>
  <c r="F63" i="63"/>
  <c r="F108" i="63" s="1"/>
  <c r="F64" i="63"/>
  <c r="F109" i="63" s="1"/>
  <c r="F65" i="63"/>
  <c r="F110" i="63" s="1"/>
  <c r="F54" i="63"/>
  <c r="F99" i="63" s="1"/>
  <c r="E55" i="63"/>
  <c r="E100" i="63" s="1"/>
  <c r="E56" i="63"/>
  <c r="E101" i="63" s="1"/>
  <c r="E57" i="63"/>
  <c r="E102" i="63" s="1"/>
  <c r="E58" i="63"/>
  <c r="E103" i="63" s="1"/>
  <c r="E59" i="63"/>
  <c r="E104" i="63" s="1"/>
  <c r="E60" i="63"/>
  <c r="E105" i="63" s="1"/>
  <c r="E61" i="63"/>
  <c r="E106" i="63" s="1"/>
  <c r="E62" i="63"/>
  <c r="E107" i="63" s="1"/>
  <c r="E63" i="63"/>
  <c r="E108" i="63" s="1"/>
  <c r="E64" i="63"/>
  <c r="E109" i="63" s="1"/>
  <c r="E65" i="63"/>
  <c r="E110" i="63" s="1"/>
  <c r="E54" i="63"/>
  <c r="E99" i="63" s="1"/>
  <c r="F3" i="63"/>
  <c r="F18" i="63" s="1"/>
  <c r="F4" i="63"/>
  <c r="F19" i="63" s="1"/>
  <c r="F5" i="63"/>
  <c r="F20" i="63" s="1"/>
  <c r="F6" i="63"/>
  <c r="F21" i="63" s="1"/>
  <c r="F7" i="63"/>
  <c r="F22" i="63" s="1"/>
  <c r="F8" i="63"/>
  <c r="F23" i="63" s="1"/>
  <c r="F9" i="63"/>
  <c r="F24" i="63" s="1"/>
  <c r="F10" i="63"/>
  <c r="F25" i="63" s="1"/>
  <c r="F11" i="63"/>
  <c r="F26" i="63" s="1"/>
  <c r="F12" i="63"/>
  <c r="F27" i="63" s="1"/>
  <c r="F2" i="63"/>
  <c r="F17" i="63" s="1"/>
  <c r="E3" i="63"/>
  <c r="E18" i="63" s="1"/>
  <c r="E4" i="63"/>
  <c r="E19" i="63" s="1"/>
  <c r="E5" i="63"/>
  <c r="E20" i="63" s="1"/>
  <c r="E6" i="63"/>
  <c r="E21" i="63" s="1"/>
  <c r="E7" i="63"/>
  <c r="E22" i="63" s="1"/>
  <c r="E8" i="63"/>
  <c r="E23" i="63" s="1"/>
  <c r="E9" i="63"/>
  <c r="E24" i="63" s="1"/>
  <c r="E10" i="63"/>
  <c r="E25" i="63" s="1"/>
  <c r="E11" i="63"/>
  <c r="E26" i="63" s="1"/>
  <c r="E12" i="63"/>
  <c r="E27" i="63" s="1"/>
  <c r="E2" i="63"/>
  <c r="E17" i="63" s="1"/>
  <c r="F51" i="63"/>
  <c r="E51" i="63"/>
  <c r="F14" i="63"/>
  <c r="F29" i="63" l="1"/>
  <c r="E14" i="63"/>
  <c r="E29" i="63" s="1"/>
  <c r="F72" i="63"/>
  <c r="E75" i="63"/>
  <c r="E74" i="63"/>
  <c r="F79" i="63"/>
  <c r="F71" i="63"/>
  <c r="E69" i="63"/>
  <c r="E73" i="63"/>
  <c r="F78" i="63"/>
  <c r="F70" i="63"/>
  <c r="E72" i="63"/>
  <c r="F77" i="63"/>
  <c r="E79" i="63"/>
  <c r="E71" i="63"/>
  <c r="F76" i="63"/>
  <c r="E78" i="63"/>
  <c r="E70" i="63"/>
  <c r="F75" i="63"/>
  <c r="E77" i="63"/>
  <c r="E66" i="63"/>
  <c r="E81" i="63" s="1"/>
  <c r="F74" i="63"/>
  <c r="E76" i="63"/>
  <c r="F69" i="63"/>
  <c r="F73" i="63"/>
  <c r="F66" i="63"/>
  <c r="F81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F111" i="63" l="1"/>
  <c r="E111" i="63"/>
  <c r="H4" i="60"/>
  <c r="H9" i="60" s="1"/>
  <c r="H3" i="35"/>
  <c r="H4" i="35" s="1"/>
  <c r="H9" i="35" s="1"/>
  <c r="F4" i="60"/>
  <c r="F9" i="60" s="1"/>
  <c r="E96" i="63"/>
  <c r="F96" i="63"/>
  <c r="J4" i="60"/>
  <c r="J9" i="60" s="1"/>
  <c r="AB69" i="71"/>
  <c r="AA69" i="71"/>
  <c r="Z69" i="71"/>
  <c r="Y69" i="71"/>
  <c r="X69" i="71"/>
  <c r="W69" i="71"/>
  <c r="V69" i="71"/>
  <c r="U69" i="71"/>
  <c r="T69" i="71"/>
  <c r="S69" i="71"/>
  <c r="R69" i="71"/>
  <c r="Q69" i="71"/>
  <c r="P69" i="71"/>
  <c r="O69" i="71"/>
  <c r="N69" i="71"/>
  <c r="M69" i="71"/>
  <c r="L69" i="71"/>
  <c r="K69" i="71"/>
  <c r="J69" i="71"/>
  <c r="I69" i="71"/>
  <c r="H69" i="71"/>
  <c r="G69" i="71"/>
  <c r="F69" i="71"/>
  <c r="E69" i="71"/>
  <c r="AB54" i="71"/>
  <c r="AA54" i="71"/>
  <c r="AA29" i="71" s="1"/>
  <c r="Z54" i="71"/>
  <c r="Z29" i="71" s="1"/>
  <c r="Y54" i="71"/>
  <c r="Y29" i="71" s="1"/>
  <c r="X54" i="71"/>
  <c r="X29" i="71" s="1"/>
  <c r="W54" i="71"/>
  <c r="W29" i="71" s="1"/>
  <c r="V54" i="71"/>
  <c r="V29" i="71" s="1"/>
  <c r="U54" i="71"/>
  <c r="U29" i="71" s="1"/>
  <c r="T54" i="71"/>
  <c r="T29" i="71" s="1"/>
  <c r="S54" i="71"/>
  <c r="S29" i="71" s="1"/>
  <c r="R54" i="71"/>
  <c r="R29" i="71" s="1"/>
  <c r="Q54" i="71"/>
  <c r="Q29" i="71" s="1"/>
  <c r="P54" i="71"/>
  <c r="P29" i="71" s="1"/>
  <c r="O54" i="71"/>
  <c r="O29" i="71" s="1"/>
  <c r="N54" i="71"/>
  <c r="N29" i="71" s="1"/>
  <c r="M54" i="71"/>
  <c r="M29" i="71" s="1"/>
  <c r="L54" i="71"/>
  <c r="L29" i="71" s="1"/>
  <c r="K54" i="71"/>
  <c r="K29" i="71" s="1"/>
  <c r="J54" i="71"/>
  <c r="J29" i="71" s="1"/>
  <c r="I54" i="71"/>
  <c r="I29" i="71" s="1"/>
  <c r="H54" i="71"/>
  <c r="H29" i="71" s="1"/>
  <c r="G54" i="71"/>
  <c r="G29" i="71" s="1"/>
  <c r="F54" i="71"/>
  <c r="F29" i="71" s="1"/>
  <c r="E54" i="71"/>
  <c r="E29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K84" i="71" l="1"/>
  <c r="S84" i="71"/>
  <c r="AA84" i="71"/>
  <c r="L84" i="71"/>
  <c r="T84" i="71"/>
  <c r="AB84" i="71"/>
  <c r="E84" i="71"/>
  <c r="M84" i="71"/>
  <c r="U84" i="71"/>
  <c r="F84" i="71"/>
  <c r="N84" i="71"/>
  <c r="V84" i="71"/>
  <c r="G84" i="71"/>
  <c r="O84" i="71"/>
  <c r="W84" i="71"/>
  <c r="H84" i="71"/>
  <c r="P84" i="71"/>
  <c r="X84" i="71"/>
  <c r="I84" i="71"/>
  <c r="Q84" i="71"/>
  <c r="Y84" i="71"/>
  <c r="J84" i="71"/>
  <c r="R84" i="71"/>
  <c r="Z84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</calcChain>
</file>

<file path=xl/sharedStrings.xml><?xml version="1.0" encoding="utf-8"?>
<sst xmlns="http://schemas.openxmlformats.org/spreadsheetml/2006/main" count="1471" uniqueCount="162">
  <si>
    <t>Общий</t>
  </si>
  <si>
    <t>Другой</t>
  </si>
  <si>
    <t>Экспорт</t>
  </si>
  <si>
    <t>Средний</t>
  </si>
  <si>
    <t>Общий объем продаж по секторам, MTJS</t>
  </si>
  <si>
    <t>Уровень сбора по секторам, %</t>
  </si>
  <si>
    <t>Отчет о прибылях и убытках BT, MTJS</t>
  </si>
  <si>
    <t>Финансовый доход</t>
  </si>
  <si>
    <t>Амортизация</t>
  </si>
  <si>
    <t>Процентные расходы</t>
  </si>
  <si>
    <t>Положения</t>
  </si>
  <si>
    <t>Налог</t>
  </si>
  <si>
    <t>Валовая прибыль</t>
  </si>
  <si>
    <t>EBITDA</t>
  </si>
  <si>
    <t>Чистая прибыль</t>
  </si>
  <si>
    <t>EBIT</t>
  </si>
  <si>
    <t>Q1-23</t>
  </si>
  <si>
    <t>Q2-23</t>
  </si>
  <si>
    <t>Q3-23</t>
  </si>
  <si>
    <t>Q4-23</t>
  </si>
  <si>
    <t>Единица</t>
  </si>
  <si>
    <t>Комментарий/ссылка</t>
  </si>
  <si>
    <t>ГВтч</t>
  </si>
  <si>
    <t>СИЗ</t>
  </si>
  <si>
    <t>Нематериальные активы</t>
  </si>
  <si>
    <t>Дебиторская задолженность</t>
  </si>
  <si>
    <t>Прочие необоротные активы</t>
  </si>
  <si>
    <t>Нетекущие авансы</t>
  </si>
  <si>
    <t>Активы BT, MTJS</t>
  </si>
  <si>
    <t>Инвентарь</t>
  </si>
  <si>
    <t>Текущие достижения</t>
  </si>
  <si>
    <t>Налоговые авансовые платежи</t>
  </si>
  <si>
    <t>Денежные средства и их эквиваленты</t>
  </si>
  <si>
    <t>Всего внеоборотных активов</t>
  </si>
  <si>
    <t>Итого текущие активы</t>
  </si>
  <si>
    <t>Всего активов</t>
  </si>
  <si>
    <t>Денежные потоки BT, MTJS</t>
  </si>
  <si>
    <t>Продажи электроэнергии</t>
  </si>
  <si>
    <t>Прочие операционные денежные потоки</t>
  </si>
  <si>
    <t>Покупка инвентаря</t>
  </si>
  <si>
    <t>Покупка электроэнергии</t>
  </si>
  <si>
    <t>Расчет заработной платы</t>
  </si>
  <si>
    <t>Услуги</t>
  </si>
  <si>
    <t>Обязательства BT, MTJS</t>
  </si>
  <si>
    <t>Долгосрочные кредиты</t>
  </si>
  <si>
    <t>Облигации</t>
  </si>
  <si>
    <t>Прочие долгосрочные обязательства</t>
  </si>
  <si>
    <t>Итого долгосрочные обязательства</t>
  </si>
  <si>
    <t>Краткосрочные кредиты</t>
  </si>
  <si>
    <t>Кредиторская задолженность</t>
  </si>
  <si>
    <t>Авансы полученные</t>
  </si>
  <si>
    <t>Налоги к уплате</t>
  </si>
  <si>
    <t>Объявленные дивиденды</t>
  </si>
  <si>
    <t>Прочие текущие обязательства</t>
  </si>
  <si>
    <t>Итого текущие обязательства</t>
  </si>
  <si>
    <t>Покупка/продажа средств индивидуальной защиты</t>
  </si>
  <si>
    <t>Прочие денежные потоки от инвестиционной деятельности</t>
  </si>
  <si>
    <t>Чистый операционный денежный поток</t>
  </si>
  <si>
    <t>Чистый инвестиционный денежный поток</t>
  </si>
  <si>
    <t>Получено грантов</t>
  </si>
  <si>
    <t>Платежи по основному долгу</t>
  </si>
  <si>
    <t>Прочие денежные потоки от финансовой деятельности (искл. Процентные платежи)</t>
  </si>
  <si>
    <t>Дебиторская задолженность контрагента, MTJS</t>
  </si>
  <si>
    <t>Кредиторская задолженность по контрагенту, MTJS</t>
  </si>
  <si>
    <t>Другие контрагенты</t>
  </si>
  <si>
    <t>МТЖС</t>
  </si>
  <si>
    <t>%</t>
  </si>
  <si>
    <t>Чистая маржа</t>
  </si>
  <si>
    <t>Текущие активы BT, MTJS</t>
  </si>
  <si>
    <t>Доход и маржа BT, MTJS</t>
  </si>
  <si>
    <t>Всего обязательств</t>
  </si>
  <si>
    <t>Q3-24</t>
  </si>
  <si>
    <t>Q4-24</t>
  </si>
  <si>
    <t>Q1-24</t>
  </si>
  <si>
    <t>Q2-24</t>
  </si>
  <si>
    <t>Соотношение</t>
  </si>
  <si>
    <t>Коэффициент покрытия обслуживания долга BT</t>
  </si>
  <si>
    <t>Коэффициент покрытия обслуживания долга</t>
  </si>
  <si>
    <t>H1-20222</t>
  </si>
  <si>
    <t>2-я половина 2022 г.</t>
  </si>
  <si>
    <t>H1-20223</t>
  </si>
  <si>
    <t>2-я половина 2023 г.</t>
  </si>
  <si>
    <t>2-я половина 2024 г.</t>
  </si>
  <si>
    <t>Талько</t>
  </si>
  <si>
    <t>Публичный</t>
  </si>
  <si>
    <t>Насосы</t>
  </si>
  <si>
    <t>Жилой</t>
  </si>
  <si>
    <t>Количество клиентов по секторам</t>
  </si>
  <si>
    <t>#</t>
  </si>
  <si>
    <t>Средний объем продаж на одного клиента по секторам, MTJS</t>
  </si>
  <si>
    <t>Средняя задержка платежа по секторам, дней</t>
  </si>
  <si>
    <t>Совокупные непогашенные платежи, мсомони</t>
  </si>
  <si>
    <t>Средний тариф по секторам, сомони/кВтч</t>
  </si>
  <si>
    <t>Потребление электроэнергии по секторам, ГВт·ч</t>
  </si>
  <si>
    <t>Потери при распределении</t>
  </si>
  <si>
    <t>Электроэнергия получена от SIB, ГВт·ч</t>
  </si>
  <si>
    <t>Электроэнергия получена от SIB</t>
  </si>
  <si>
    <t>Общий объем денежных поступлений по секторам, MTJS</t>
  </si>
  <si>
    <t>Доходы от продаж</t>
  </si>
  <si>
    <t>Операционные расходы</t>
  </si>
  <si>
    <t>Промышленные и коммерческие (кроме Talco и Azod)</t>
  </si>
  <si>
    <t>Азод</t>
  </si>
  <si>
    <t>Прочие внереализационные</t>
  </si>
  <si>
    <t>ОАО "ТАЛКО"</t>
  </si>
  <si>
    <t>КМ КТ "Таджикхимпром" Ёвон</t>
  </si>
  <si>
    <t>ОАО "Азот"</t>
  </si>
  <si>
    <t>Республиканское водоснабжение и канализация</t>
  </si>
  <si>
    <t>Нассосы</t>
  </si>
  <si>
    <t>Всего</t>
  </si>
  <si>
    <t>Прочие операционные платежи</t>
  </si>
  <si>
    <t>GWh</t>
  </si>
  <si>
    <t>Промышленные и коммерческие (без ТАЛКО и АЗОД)</t>
  </si>
  <si>
    <t>Таджикский металлургический комбинат</t>
  </si>
  <si>
    <t>Усредненный тариф</t>
  </si>
  <si>
    <t>Общественный</t>
  </si>
  <si>
    <t>Насосы канализационные</t>
  </si>
  <si>
    <t>Мелиоративные насосы</t>
  </si>
  <si>
    <t>ТАЛКО</t>
  </si>
  <si>
    <t>ЧП</t>
  </si>
  <si>
    <t>MTJS</t>
  </si>
  <si>
    <t>TJS/kWh</t>
  </si>
  <si>
    <t>Электроэнергия получена от BT</t>
  </si>
  <si>
    <t>Электроэнергия, полученная от BT</t>
  </si>
  <si>
    <t>ОАО "Барки Точик"</t>
  </si>
  <si>
    <t>Нокили ТАЛКО</t>
  </si>
  <si>
    <t>ОАО "Трансформатор"</t>
  </si>
  <si>
    <t>Налоги</t>
  </si>
  <si>
    <t>Совокупная сумма непогашенных платежей по 20 крупнейшим должникам, млн сомони</t>
  </si>
  <si>
    <t>ОАО Ширкати Алюминии Точик</t>
  </si>
  <si>
    <t>КМ КТ "Точиккимиёсаноат"
г.Яван</t>
  </si>
  <si>
    <t>ЧСК "Азот"</t>
  </si>
  <si>
    <t>ГЭС "Рогун"</t>
  </si>
  <si>
    <t>КМ Адрасмон</t>
  </si>
  <si>
    <t>Городок Зарнисор Кайраккум</t>
  </si>
  <si>
    <t>ОАО "Ангишт" г.Исфара</t>
  </si>
  <si>
    <t xml:space="preserve">ОАО "Тамохуш-ЗГМИ" г. Исфара        </t>
  </si>
  <si>
    <t>ООО "Ангубин Масчох"</t>
  </si>
  <si>
    <t>ЧДММ  Таджикско- Китайская Горнопромышленная компания Кайраккум</t>
  </si>
  <si>
    <t>ЧДММ  Таджикско- Китайская Горнопромышленная компания Мастчох</t>
  </si>
  <si>
    <t>ГУП "Сементи Точик"</t>
  </si>
  <si>
    <t>Душанбеводоканал</t>
  </si>
  <si>
    <t>АМиИ при Пр-ве РТ насосные станции</t>
  </si>
  <si>
    <t>Сельско хоз.организации</t>
  </si>
  <si>
    <t>Бюджетные организации</t>
  </si>
  <si>
    <t>Крепные коммерчиские потребители</t>
  </si>
  <si>
    <t xml:space="preserve">Население </t>
  </si>
  <si>
    <t>ОАО "Помирэнерджи"</t>
  </si>
  <si>
    <t>,</t>
  </si>
  <si>
    <t>Денежные стредства на начало отчетного периода</t>
  </si>
  <si>
    <t>ОАО "Шабакахои интиколи барк"</t>
  </si>
  <si>
    <t>Промышленные и коммерческие</t>
  </si>
  <si>
    <t>Население</t>
  </si>
  <si>
    <t>К-во</t>
  </si>
  <si>
    <t>ШСХК "Барки Точик"</t>
  </si>
  <si>
    <t>ЧСК "Шабакахои интиколи барк"</t>
  </si>
  <si>
    <t>Нокили Талко</t>
  </si>
  <si>
    <t>ОАО Трансформатор</t>
  </si>
  <si>
    <t>ЧСК "Сомон Кулоб - тачхизот"</t>
  </si>
  <si>
    <t>Q1-25</t>
  </si>
  <si>
    <t>Q2-25</t>
  </si>
  <si>
    <t>Н1-2025</t>
  </si>
  <si>
    <t>Н1-2024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</si>
</sst>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0.00,,"/>
    <numFmt numFmtId="168" formatCode="#,##0.0"/>
    <numFmt numFmtId="169" formatCode="#,##0.000"/>
    <numFmt numFmtId="170" formatCode="_(* #,##0.0_);_(* \(#,##0.0\);_(* &quot;-&quot;??_);_(@_)"/>
    <numFmt numFmtId="171" formatCode="_(* #,##0.000_);_(* \(#,##0.000\);_(* &quot;-&quot;??_);_(@_)"/>
    <numFmt numFmtId="172" formatCode="0.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</font>
    <font>
      <sz val="10"/>
      <color rgb="FFFF0000"/>
      <name val="Arial"/>
      <family val="2"/>
    </font>
    <font>
      <b/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7" xfId="3" applyNumberFormat="1" applyFont="1" applyFill="1" applyBorder="1" applyAlignment="1">
      <alignment horizontal="left"/>
    </xf>
    <xf numFmtId="165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5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5" fontId="9" fillId="2" borderId="6" xfId="2" applyNumberFormat="1" applyFont="1" applyFill="1" applyBorder="1"/>
    <xf numFmtId="165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5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5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5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5" fontId="8" fillId="3" borderId="7" xfId="2" applyNumberFormat="1" applyFont="1" applyFill="1" applyBorder="1"/>
    <xf numFmtId="165" fontId="8" fillId="3" borderId="1" xfId="2" applyNumberFormat="1" applyFont="1" applyFill="1" applyBorder="1"/>
    <xf numFmtId="165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6" fontId="0" fillId="0" borderId="2" xfId="7" applyNumberFormat="1" applyFont="1" applyBorder="1"/>
    <xf numFmtId="166" fontId="22" fillId="0" borderId="2" xfId="7" applyNumberFormat="1" applyFont="1" applyBorder="1"/>
    <xf numFmtId="167" fontId="9" fillId="2" borderId="0" xfId="2" applyNumberFormat="1" applyFont="1" applyFill="1"/>
    <xf numFmtId="168" fontId="9" fillId="2" borderId="0" xfId="2" applyNumberFormat="1" applyFont="1" applyFill="1"/>
    <xf numFmtId="167" fontId="11" fillId="2" borderId="0" xfId="2" applyNumberFormat="1" applyFont="1" applyFill="1"/>
    <xf numFmtId="168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7" fontId="23" fillId="2" borderId="0" xfId="2" applyNumberFormat="1" applyFont="1" applyFill="1"/>
    <xf numFmtId="169" fontId="9" fillId="2" borderId="0" xfId="2" applyNumberFormat="1" applyFont="1" applyFill="1"/>
    <xf numFmtId="9" fontId="23" fillId="2" borderId="0" xfId="1" applyFont="1" applyFill="1"/>
    <xf numFmtId="169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5" fontId="23" fillId="2" borderId="6" xfId="2" applyNumberFormat="1" applyFont="1" applyFill="1" applyBorder="1"/>
    <xf numFmtId="0" fontId="25" fillId="3" borderId="4" xfId="3" applyFont="1" applyFill="1" applyBorder="1"/>
    <xf numFmtId="165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165" fontId="28" fillId="2" borderId="1" xfId="2" applyNumberFormat="1" applyFont="1" applyFill="1" applyBorder="1"/>
    <xf numFmtId="165" fontId="30" fillId="2" borderId="1" xfId="3" applyNumberFormat="1" applyFont="1" applyFill="1" applyBorder="1" applyAlignment="1">
      <alignment horizontal="left"/>
    </xf>
    <xf numFmtId="3" fontId="28" fillId="2" borderId="0" xfId="2" applyNumberFormat="1" applyFont="1" applyFill="1"/>
    <xf numFmtId="3" fontId="31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6" fontId="9" fillId="2" borderId="0" xfId="1" applyNumberFormat="1" applyFont="1" applyFill="1"/>
    <xf numFmtId="166" fontId="9" fillId="2" borderId="0" xfId="2" applyNumberFormat="1" applyFont="1" applyFill="1"/>
    <xf numFmtId="166" fontId="28" fillId="2" borderId="0" xfId="2" applyNumberFormat="1" applyFont="1" applyFill="1"/>
    <xf numFmtId="166" fontId="31" fillId="2" borderId="0" xfId="2" applyNumberFormat="1" applyFont="1" applyFill="1"/>
    <xf numFmtId="171" fontId="9" fillId="2" borderId="0" xfId="2" applyNumberFormat="1" applyFont="1" applyFill="1"/>
    <xf numFmtId="0" fontId="32" fillId="2" borderId="2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 vertical="center" wrapText="1"/>
    </xf>
    <xf numFmtId="166" fontId="23" fillId="2" borderId="0" xfId="1" applyNumberFormat="1" applyFont="1" applyFill="1"/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6" fontId="9" fillId="0" borderId="0" xfId="1" applyNumberFormat="1" applyFont="1" applyFill="1"/>
    <xf numFmtId="166" fontId="9" fillId="0" borderId="0" xfId="2" applyNumberFormat="1" applyFont="1"/>
    <xf numFmtId="166" fontId="0" fillId="0" borderId="8" xfId="7" applyNumberFormat="1" applyFont="1" applyFill="1" applyBorder="1"/>
    <xf numFmtId="170" fontId="9" fillId="0" borderId="0" xfId="1" applyNumberFormat="1" applyFont="1" applyFill="1"/>
    <xf numFmtId="166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5" fontId="9" fillId="0" borderId="6" xfId="2" applyNumberFormat="1" applyFont="1" applyBorder="1"/>
    <xf numFmtId="165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6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0" fontId="9" fillId="0" borderId="3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1" fontId="9" fillId="0" borderId="0" xfId="1" applyNumberFormat="1" applyFont="1" applyFill="1"/>
    <xf numFmtId="166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2" fontId="9" fillId="2" borderId="0" xfId="2" applyNumberFormat="1" applyFont="1" applyFill="1"/>
    <xf numFmtId="0" fontId="9" fillId="4" borderId="0" xfId="2" applyFont="1" applyFill="1"/>
    <xf numFmtId="1" fontId="28" fillId="2" borderId="0" xfId="2" applyNumberFormat="1" applyFont="1" applyFill="1"/>
  </cellXfs>
  <cellStyles count="8">
    <cellStyle name="Comma" xfId="7" builtinId="3"/>
    <cellStyle name="Normal" xfId="0" builtinId="0"/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615512\Downloads\energy-in-sweden-facts-and-figures_2022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annua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annu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zoomScale="80" zoomScaleNormal="80" workbookViewId="0">
      <selection activeCell="F10" sqref="F10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.59765625" style="7" customWidth="1"/>
    <col min="6" max="6" width="12.1328125" style="7" customWidth="1"/>
    <col min="7" max="16384" width="8" style="7"/>
  </cols>
  <sheetData>
    <row r="1" spans="1:29" s="6" customFormat="1" ht="15.75" customHeight="1" thickBot="1">
      <c r="A1" s="3" t="s">
        <v>95</v>
      </c>
      <c r="B1" s="4"/>
      <c r="C1" s="5" t="s">
        <v>20</v>
      </c>
      <c r="D1" s="5" t="s">
        <v>21</v>
      </c>
      <c r="E1" s="1">
        <v>2023</v>
      </c>
      <c r="F1" s="2">
        <v>2024</v>
      </c>
    </row>
    <row r="2" spans="1:29" ht="16.350000000000001" customHeight="1">
      <c r="B2" s="11" t="s">
        <v>96</v>
      </c>
      <c r="C2" s="9" t="s">
        <v>22</v>
      </c>
      <c r="D2" s="9"/>
      <c r="E2" s="64">
        <f>SUM(' Физический_ежеквартальный'!E2:H2)</f>
        <v>17810185209</v>
      </c>
      <c r="F2" s="64">
        <f>SUM(' Физический_ежеквартальный'!I2:L2)</f>
        <v>18703055514</v>
      </c>
    </row>
    <row r="3" spans="1:29" ht="16.350000000000001" customHeight="1">
      <c r="B3" s="11" t="s">
        <v>122</v>
      </c>
      <c r="C3" s="9" t="s">
        <v>22</v>
      </c>
      <c r="D3" s="9"/>
      <c r="E3" s="64">
        <f>SUM(' Физический_ежеквартальный'!E3:H3)</f>
        <v>86256241</v>
      </c>
      <c r="F3" s="64">
        <f>SUM(' Физический_ежеквартальный'!I3:L3)</f>
        <v>60123775</v>
      </c>
    </row>
    <row r="4" spans="1:29" s="74" customFormat="1" ht="16.350000000000001" customHeight="1">
      <c r="B4" s="75" t="s">
        <v>0</v>
      </c>
      <c r="C4" s="76" t="s">
        <v>22</v>
      </c>
      <c r="D4" s="77"/>
      <c r="E4" s="70">
        <f>SUM(E2:E3)</f>
        <v>17896441450</v>
      </c>
      <c r="F4" s="70">
        <f>SUM(F2:F3)</f>
        <v>18763179289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93</v>
      </c>
      <c r="B6" s="4"/>
      <c r="C6" s="5" t="s">
        <v>20</v>
      </c>
      <c r="D6" s="5" t="s">
        <v>21</v>
      </c>
      <c r="E6" s="1">
        <v>2023</v>
      </c>
      <c r="F6" s="2">
        <v>2024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 Физический_ежеквартальный'!E7:H7)</f>
        <v>2759753292.7667003</v>
      </c>
      <c r="F7" s="64">
        <f>SUM(' Физический_ежеквартальный'!I7:L7)</f>
        <v>3256957526.3828001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 Физический_ежеквартальный'!E8:H8)</f>
        <v>9897669.0399999991</v>
      </c>
      <c r="F8" s="64">
        <f>SUM(' Физический_ежеквартальный'!I8:L8)</f>
        <v>8899757.166489996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 Физический_ежеквартальный'!E9:H9)</f>
        <v>20008757.5024</v>
      </c>
      <c r="F9" s="64">
        <f>SUM(' Физический_ежеквартальный'!I9:L9)</f>
        <v>18179232.949999999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 Физический_ежеквартальный'!E10:H10)</f>
        <v>606678919.37199998</v>
      </c>
      <c r="F10" s="64">
        <f>SUM(' Физический_ежеквартальный'!I10:L10)</f>
        <v>635743772.24199998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 Физический_ежеквартальный'!E11:H11)</f>
        <v>2081298157.2</v>
      </c>
      <c r="F11" s="64">
        <f>SUM(' Физический_ежеквартальный'!I11:L11)</f>
        <v>1652931329.9400001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 Физический_ежеквартальный'!E12:H12)</f>
        <v>648622898.63</v>
      </c>
      <c r="F12" s="64">
        <f>SUM(' Физический_ежеквартальный'!I12:L12)</f>
        <v>665916167.74900007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 Физический_ежеквартальный'!E13:H13)</f>
        <v>229558141</v>
      </c>
      <c r="F13" s="64">
        <f>SUM(' Физический_ежеквартальный'!I13:L13)</f>
        <v>469285297.22000003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 Физический_ежеквартальный'!E14:H14)</f>
        <v>1731908573.6300001</v>
      </c>
      <c r="F14" s="64">
        <f>SUM(' Физический_ежеквартальный'!I14:L14)</f>
        <v>2037759758.46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 Физический_ежеквартальный'!E15:H15)</f>
        <v>9797192</v>
      </c>
      <c r="F15" s="64">
        <f>SUM(' Физический_ежеквартальный'!I15:L15)</f>
        <v>21349503.100000001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 Физический_ежеквартальный'!E16:H16)</f>
        <v>117133296</v>
      </c>
      <c r="F16" s="64">
        <f>SUM(' Физический_ежеквартальный'!I16:L16)</f>
        <v>107296474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 Физический_ежеквартальный'!E17:H17)</f>
        <v>5831051614.0500002</v>
      </c>
      <c r="F17" s="64">
        <f>SUM(' Физический_ежеквартальный'!I17:L17)</f>
        <v>6244680352.9359999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f>SUM(' Физический_ежеквартальный'!E18:H18)</f>
        <v>3850732938.8088989</v>
      </c>
      <c r="F18" s="64">
        <f>SUM(' Физический_ежеквартальный'!I18:L18)</f>
        <v>3644180116.8537102</v>
      </c>
      <c r="G18" s="64"/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22</v>
      </c>
      <c r="D19" s="9"/>
      <c r="E19" s="70">
        <f>SUM(E7:E18)</f>
        <v>17896441450</v>
      </c>
      <c r="F19" s="70">
        <f>SUM(F7:F18)</f>
        <v>18763179289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tabSelected="1" zoomScale="80" zoomScaleNormal="80" workbookViewId="0">
      <selection activeCell="O25" sqref="O2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86328125" style="7" customWidth="1"/>
    <col min="6" max="12" width="8" style="7"/>
    <col min="13" max="14" width="8.73046875" style="7" bestFit="1" customWidth="1"/>
    <col min="15" max="15" width="14.86328125" style="7" bestFit="1" customWidth="1"/>
    <col min="16" max="16384" width="8" style="7"/>
  </cols>
  <sheetData>
    <row r="1" spans="1:29" s="6" customFormat="1" ht="15.4" thickBot="1">
      <c r="A1" s="3" t="s">
        <v>95</v>
      </c>
      <c r="B1" s="4"/>
      <c r="C1" s="5" t="s">
        <v>20</v>
      </c>
      <c r="D1" s="5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68" t="s">
        <v>158</v>
      </c>
      <c r="N1" s="68" t="s">
        <v>159</v>
      </c>
    </row>
    <row r="2" spans="1:29">
      <c r="B2" s="11" t="s">
        <v>96</v>
      </c>
      <c r="C2" s="9" t="s">
        <v>22</v>
      </c>
      <c r="D2" s="9"/>
      <c r="E2" s="64">
        <f>SUM(' Физический_ежемесячный'!E2:G2)</f>
        <v>4904510811</v>
      </c>
      <c r="F2" s="64">
        <f>SUM(' Физический_ежемесячный'!H2:J2)</f>
        <v>4185951169</v>
      </c>
      <c r="G2" s="64">
        <f>SUM(' Физический_ежемесячный'!K2:M2)</f>
        <v>4420040881</v>
      </c>
      <c r="H2" s="64">
        <f>SUM(' Физический_ежемесячный'!N2:P2)</f>
        <v>4299682348</v>
      </c>
      <c r="I2" s="64">
        <f>SUM(' Физический_ежемесячный'!Q2:S2)</f>
        <v>4849556108</v>
      </c>
      <c r="J2" s="64">
        <f>SUM(' Физический_ежемесячный'!T2:V2)</f>
        <v>4162631645</v>
      </c>
      <c r="K2" s="64">
        <f>SUM(' Физический_ежемесячный'!W2:Y2)</f>
        <v>4841941082</v>
      </c>
      <c r="L2" s="64">
        <f>SUM(' Физический_ежемесячный'!Z2:AB2)</f>
        <v>4848926679</v>
      </c>
      <c r="M2" s="7">
        <f>' Физический_ежемесячный'!AC2+' Физический_ежемесячный'!AD2+' Физический_ежемесячный'!AE2</f>
        <v>5407.38</v>
      </c>
      <c r="N2" s="131">
        <f>SUM(' Физический_ежемесячный'!AF2:AH2)</f>
        <v>4776.4050000000007</v>
      </c>
    </row>
    <row r="3" spans="1:29">
      <c r="B3" s="11" t="s">
        <v>121</v>
      </c>
      <c r="C3" s="9" t="s">
        <v>22</v>
      </c>
      <c r="D3" s="9"/>
      <c r="E3" s="64">
        <f>SUM(' Физический_ежемесячный'!E3:G3)</f>
        <v>24436438</v>
      </c>
      <c r="F3" s="64">
        <f>SUM(' Физический_ежемесячный'!H3:J3)</f>
        <v>27286370</v>
      </c>
      <c r="G3" s="64">
        <f>SUM(' Физический_ежемесячный'!K3:M3)</f>
        <v>21579853</v>
      </c>
      <c r="H3" s="64">
        <f>SUM(' Физический_ежемесячный'!N3:P3)</f>
        <v>12953580</v>
      </c>
      <c r="I3" s="64">
        <f>SUM(' Физический_ежемесячный'!Q3:S3)</f>
        <v>14565437</v>
      </c>
      <c r="J3" s="64">
        <f>SUM(' Физический_ежемесячный'!T3:V3)</f>
        <v>19774973</v>
      </c>
      <c r="K3" s="64">
        <f>SUM(' Физический_ежемесячный'!W3:Y3)</f>
        <v>12195188</v>
      </c>
      <c r="L3" s="64">
        <f>SUM(' Физический_ежемесячный'!Z3:AB3)</f>
        <v>13588177</v>
      </c>
      <c r="M3" s="7">
        <f>' Физический_ежемесячный'!AC3+' Физический_ежемесячный'!AD3+' Физический_ежемесячный'!AE3</f>
        <v>11.739999999999998</v>
      </c>
      <c r="N3" s="131">
        <f>SUM(' Физический_ежемесячный'!AF3:AH3)</f>
        <v>20.774999999999999</v>
      </c>
    </row>
    <row r="4" spans="1:29" s="74" customFormat="1" ht="13.15">
      <c r="B4" s="75" t="s">
        <v>0</v>
      </c>
      <c r="C4" s="76" t="s">
        <v>22</v>
      </c>
      <c r="D4" s="77"/>
      <c r="E4" s="70">
        <f>SUM(E2:E3)</f>
        <v>4928947249</v>
      </c>
      <c r="F4" s="70">
        <f t="shared" ref="F4:N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9">
        <f t="shared" si="0"/>
        <v>5419.12</v>
      </c>
      <c r="N4" s="129">
        <f t="shared" si="0"/>
        <v>4797.18</v>
      </c>
    </row>
    <row r="5" spans="1:29">
      <c r="B5" s="18"/>
      <c r="C5" s="17"/>
      <c r="D5" s="17"/>
    </row>
    <row r="6" spans="1:29" s="6" customFormat="1" ht="15.4" thickBot="1">
      <c r="A6" s="3" t="s">
        <v>93</v>
      </c>
      <c r="B6" s="4"/>
      <c r="C6" s="5" t="s">
        <v>20</v>
      </c>
      <c r="D6" s="5" t="s">
        <v>21</v>
      </c>
      <c r="E6" s="1" t="s">
        <v>16</v>
      </c>
      <c r="F6" s="2" t="s">
        <v>17</v>
      </c>
      <c r="G6" s="1" t="s">
        <v>18</v>
      </c>
      <c r="H6" s="2" t="s">
        <v>19</v>
      </c>
      <c r="I6" s="1" t="s">
        <v>73</v>
      </c>
      <c r="J6" s="2" t="s">
        <v>74</v>
      </c>
      <c r="K6" s="1" t="s">
        <v>71</v>
      </c>
      <c r="L6" s="1" t="s">
        <v>72</v>
      </c>
      <c r="M6" s="68" t="s">
        <v>158</v>
      </c>
      <c r="N6" s="68" t="s">
        <v>159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 Физический_ежемесячный'!E7:G7)</f>
        <v>638271419.54110003</v>
      </c>
      <c r="F7" s="64">
        <f>SUM(' Физический_ежемесячный'!H7:J7)</f>
        <v>634232731.49000001</v>
      </c>
      <c r="G7" s="64">
        <f>SUM(' Физический_ежемесячный'!K7:M7)</f>
        <v>721437550.64120007</v>
      </c>
      <c r="H7" s="64">
        <f>SUM(' Физический_ежемесячный'!N7:P7)</f>
        <v>765811591.09440005</v>
      </c>
      <c r="I7" s="64">
        <f>SUM(' Физический_ежемесячный'!Q7:S7)</f>
        <v>755092795.20000017</v>
      </c>
      <c r="J7" s="64">
        <f>SUM(' Физический_ежемесячный'!T7:V7)</f>
        <v>735367286.69999993</v>
      </c>
      <c r="K7" s="64">
        <f>SUM(' Физический_ежемесячный'!W7:Y7)</f>
        <v>856574969.04850006</v>
      </c>
      <c r="L7" s="64">
        <f>SUM(' Физический_ежемесячный'!Z7:AB7)</f>
        <v>909922475.43429995</v>
      </c>
      <c r="M7" s="64">
        <f>SUM(' Физический_ежемесячный'!AC7:AE7)</f>
        <v>921858950.86910009</v>
      </c>
      <c r="N7" s="64">
        <f>SUM(' Физический_ежемесячный'!AF7:AH7)</f>
        <v>967019509.2974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 Физический_ежемесячный'!E8:G8)</f>
        <v>3802436.4</v>
      </c>
      <c r="F8" s="64">
        <f>SUM(' Физический_ежемесячный'!H8:J8)</f>
        <v>1936043.8199999994</v>
      </c>
      <c r="G8" s="64">
        <f>SUM(' Физический_ежемесячный'!K8:M8)</f>
        <v>1634180.5500000007</v>
      </c>
      <c r="H8" s="64">
        <f>SUM(' Физический_ежемесячный'!N8:P8)</f>
        <v>2525008.2699999996</v>
      </c>
      <c r="I8" s="64">
        <f>SUM(' Физический_ежемесячный'!Q8:S8)</f>
        <v>2080536.8135999991</v>
      </c>
      <c r="J8" s="64">
        <f>SUM(' Физический_ежемесячный'!T8:V8)</f>
        <v>1571788.7255899981</v>
      </c>
      <c r="K8" s="64">
        <f>SUM(' Физический_ежемесячный'!W8:Y8)</f>
        <v>2354326.2726999987</v>
      </c>
      <c r="L8" s="64">
        <f>SUM(' Физический_ежемесячный'!Z8:AB8)</f>
        <v>2893105.3546000002</v>
      </c>
      <c r="M8" s="64">
        <f>SUM(' Физический_ежемесячный'!AC8:AE8)</f>
        <v>3189674.6980999997</v>
      </c>
      <c r="N8" s="64">
        <f>SUM(' Физический_ежемесячный'!AF8:AH8)</f>
        <v>1746232.6092000003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 Физический_ежемесячный'!E9:G9)</f>
        <v>7047594.2524000006</v>
      </c>
      <c r="F9" s="64">
        <f>SUM(' Физический_ежемесячный'!H9:J9)</f>
        <v>3506249.43</v>
      </c>
      <c r="G9" s="64">
        <f>SUM(' Физический_ежемесячный'!K9:M9)</f>
        <v>4313574.05</v>
      </c>
      <c r="H9" s="64">
        <f>SUM(' Физический_ежемесячный'!N9:P9)</f>
        <v>5141339.7700000005</v>
      </c>
      <c r="I9" s="64">
        <f>SUM(' Физический_ежемесячный'!Q9:S9)</f>
        <v>5493007.1799999997</v>
      </c>
      <c r="J9" s="64">
        <f>SUM(' Физический_ежемесячный'!T9:V9)</f>
        <v>3273391.5</v>
      </c>
      <c r="K9" s="64">
        <f>SUM(' Физический_ежемесячный'!W9:Y9)</f>
        <v>3482647.36</v>
      </c>
      <c r="L9" s="64">
        <f>SUM(' Физический_ежемесячный'!Z9:AB9)</f>
        <v>5930186.9100000001</v>
      </c>
      <c r="M9" s="64">
        <f>SUM(' Физический_ежемесячный'!AC9:AE9)</f>
        <v>6669871.267</v>
      </c>
      <c r="N9" s="64">
        <f>SUM(' Физический_ежемесячный'!AF9:AH9)</f>
        <v>3632579.2690000003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 Физический_ежемесячный'!E10:G10)</f>
        <v>214522481.19</v>
      </c>
      <c r="F10" s="64">
        <f>SUM(' Физический_ежемесячный'!H10:J10)</f>
        <v>109425279.33000001</v>
      </c>
      <c r="G10" s="64">
        <f>SUM(' Физический_ежемесячный'!K10:M10)</f>
        <v>115335855.93200001</v>
      </c>
      <c r="H10" s="64">
        <f>SUM(' Физический_ежемесячный'!N10:P10)</f>
        <v>167395302.91999999</v>
      </c>
      <c r="I10" s="64">
        <f>SUM(' Физический_ежемесячный'!Q10:S10)</f>
        <v>205401414.50999999</v>
      </c>
      <c r="J10" s="64">
        <f>SUM(' Физический_ежемесячный'!T10:V10)</f>
        <v>119836924.69</v>
      </c>
      <c r="K10" s="64">
        <f>SUM(' Физический_ежемесячный'!W10:Y10)</f>
        <v>126716852.05130002</v>
      </c>
      <c r="L10" s="64">
        <f>SUM(' Физический_ежемесячный'!Z10:AB10)</f>
        <v>183788580.99070001</v>
      </c>
      <c r="M10" s="64">
        <f>SUM(' Физический_ежемесячный'!AC10:AE10)</f>
        <v>224168623.40809998</v>
      </c>
      <c r="N10" s="64">
        <f>SUM(' Физический_ежемесячный'!AF10:AH10)</f>
        <v>128737485.45370001</v>
      </c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 Физический_ежемесячный'!E11:G11)</f>
        <v>78808405.400000006</v>
      </c>
      <c r="F11" s="64">
        <f>SUM(' Физический_ежемесячный'!H11:J11)</f>
        <v>888071474.43000007</v>
      </c>
      <c r="G11" s="64">
        <f>SUM(' Физический_ежемесячный'!K11:M11)</f>
        <v>1023178192.89</v>
      </c>
      <c r="H11" s="64">
        <f>SUM(' Физический_ежемесячный'!N11:P11)</f>
        <v>91240084.480000004</v>
      </c>
      <c r="I11" s="64">
        <f>SUM(' Физический_ежемесячный'!Q11:S11)</f>
        <v>60466805.299999997</v>
      </c>
      <c r="J11" s="64">
        <f>SUM(' Физический_ежемесячный'!T11:V11)</f>
        <v>628370909.94000006</v>
      </c>
      <c r="K11" s="64">
        <f>SUM(' Физический_ежемесячный'!W11:Y11)</f>
        <v>884521098.17999995</v>
      </c>
      <c r="L11" s="64">
        <f>SUM(' Физический_ежемесячный'!Z11:AB11)</f>
        <v>79572516.519999996</v>
      </c>
      <c r="M11" s="64">
        <f>SUM(' Физический_ежемесячный'!AC11:AE11)</f>
        <v>64382778.030000001</v>
      </c>
      <c r="N11" s="64">
        <f>SUM(' Физический_ежемесячный'!AF11:AH11)</f>
        <v>854839339.40999997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 Физический_ежемесячный'!E12:G12)</f>
        <v>186174641.78</v>
      </c>
      <c r="F12" s="64">
        <f>SUM(' Физический_ежемесячный'!H12:J12)</f>
        <v>152891299.93000001</v>
      </c>
      <c r="G12" s="64">
        <f>SUM(' Физический_ежемесячный'!K12:M12)</f>
        <v>154284831.50999999</v>
      </c>
      <c r="H12" s="64">
        <f>SUM(' Физический_ежемесячный'!N12:P12)</f>
        <v>155272125.41</v>
      </c>
      <c r="I12" s="64">
        <f>SUM(' Физический_ежемесячный'!Q12:S12)</f>
        <v>157132675.76999998</v>
      </c>
      <c r="J12" s="64">
        <f>SUM(' Физический_ежемесячный'!T12:V12)</f>
        <v>147333687.37</v>
      </c>
      <c r="K12" s="64">
        <f>SUM(' Физический_ежемесячный'!W12:Y12)</f>
        <v>174971691.38300002</v>
      </c>
      <c r="L12" s="64">
        <f>SUM(' Физический_ежемесячный'!Z12:AB12)</f>
        <v>186478113.22600001</v>
      </c>
      <c r="M12" s="64">
        <f>SUM(' Физический_ежемесячный'!AC12:AE12)</f>
        <v>168446725.815</v>
      </c>
      <c r="N12" s="64">
        <f>SUM(' Физический_ежемесячный'!AF12:AH12)</f>
        <v>112864354.442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 Физический_ежемесячный'!E13:G13)</f>
        <v>43633227</v>
      </c>
      <c r="F13" s="64">
        <f>SUM(' Физический_ежемесячный'!H13:J13)</f>
        <v>72449242</v>
      </c>
      <c r="G13" s="64">
        <f>SUM(' Физический_ежемесячный'!K13:M13)</f>
        <v>83373610</v>
      </c>
      <c r="H13" s="64">
        <f>SUM(' Физический_ежемесячный'!N13:P13)</f>
        <v>30102062</v>
      </c>
      <c r="I13" s="64">
        <f>SUM(' Физический_ежемесячный'!Q13:S13)</f>
        <v>29064058.59</v>
      </c>
      <c r="J13" s="64">
        <f>SUM(' Физический_ежемесячный'!T13:V13)</f>
        <v>184687672</v>
      </c>
      <c r="K13" s="64">
        <f>SUM(' Физический_ежемесячный'!W13:Y13)</f>
        <v>215424774</v>
      </c>
      <c r="L13" s="64">
        <f>SUM(' Физический_ежемесячный'!Z13:AB13)</f>
        <v>40108792.629999995</v>
      </c>
      <c r="M13" s="64">
        <f>SUM(' Физический_ежемесячный'!AC13:AE13)</f>
        <v>43379853.934419677</v>
      </c>
      <c r="N13" s="64">
        <f>SUM(' Физический_ежемесячный'!AF13:AH13)</f>
        <v>32327006.440000001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 Физический_ежемесячный'!E14:G14)</f>
        <v>413840253</v>
      </c>
      <c r="F14" s="64">
        <f>SUM(' Физический_ежемесячный'!H14:J14)</f>
        <v>413908150</v>
      </c>
      <c r="G14" s="64">
        <f>SUM(' Физический_ежемесячный'!K14:M14)</f>
        <v>442844971</v>
      </c>
      <c r="H14" s="64">
        <f>SUM(' Физический_ежемесячный'!N14:P14)</f>
        <v>461315199.63</v>
      </c>
      <c r="I14" s="64">
        <f>SUM(' Физический_ежемесячный'!Q14:S14)</f>
        <v>481572302.39999998</v>
      </c>
      <c r="J14" s="64">
        <f>SUM(' Физический_ежемесячный'!T14:V14)</f>
        <v>489283752.71000004</v>
      </c>
      <c r="K14" s="64">
        <f>SUM(' Физический_ежемесячный'!W14:Y14)</f>
        <v>516871761.89999998</v>
      </c>
      <c r="L14" s="64">
        <f>SUM(' Физический_ежемесячный'!Z14:AB14)</f>
        <v>550031941.45000005</v>
      </c>
      <c r="M14" s="64">
        <f>SUM(' Физический_ежемесячный'!AC14:AE14)</f>
        <v>595123722</v>
      </c>
      <c r="N14" s="64">
        <f>SUM(' Физический_ежемесячный'!AF14:AH14)</f>
        <v>588225209.35000002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 Физический_ежемесячный'!E15:G15)</f>
        <v>5415408</v>
      </c>
      <c r="F15" s="64">
        <f>SUM(' Физический_ежемесячный'!H15:J15)</f>
        <v>1630861</v>
      </c>
      <c r="G15" s="64">
        <f>SUM(' Физический_ежемесячный'!K15:M15)</f>
        <v>408752</v>
      </c>
      <c r="H15" s="64">
        <f>SUM(' Физический_ежемесячный'!N15:P15)</f>
        <v>2342171</v>
      </c>
      <c r="I15" s="64">
        <f>SUM(' Физический_ежемесячный'!Q15:S15)</f>
        <v>5936215</v>
      </c>
      <c r="J15" s="64">
        <f>SUM(' Физический_ежемесячный'!T15:V15)</f>
        <v>3954167.1</v>
      </c>
      <c r="K15" s="64">
        <f>SUM(' Физический_ежемесячный'!W15:Y15)</f>
        <v>4863839</v>
      </c>
      <c r="L15" s="64">
        <f>SUM(' Физический_ежемесячный'!Z15:AB15)</f>
        <v>6595282</v>
      </c>
      <c r="M15" s="64">
        <f>SUM(' Физический_ежемесячный'!AC15:AE15)</f>
        <v>7774397</v>
      </c>
      <c r="N15" s="64">
        <f>SUM(' Физический_ежемесячный'!AF15:AH15)</f>
        <v>5162399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 Физический_ежемесячный'!E16:G16)</f>
        <v>0</v>
      </c>
      <c r="F16" s="64">
        <f>SUM(' Физический_ежемесячный'!H16:J16)</f>
        <v>35949170</v>
      </c>
      <c r="G16" s="64">
        <f>SUM(' Физический_ежемесячный'!K16:M16)</f>
        <v>43902462</v>
      </c>
      <c r="H16" s="64">
        <f>SUM(' Физический_ежемесячный'!N16:P16)</f>
        <v>37281664</v>
      </c>
      <c r="I16" s="64">
        <f>SUM(' Физический_ежемесячный'!Q16:S16)</f>
        <v>14676764</v>
      </c>
      <c r="J16" s="64">
        <f>SUM(' Физический_ежемесячный'!T16:V16)</f>
        <v>32443482</v>
      </c>
      <c r="K16" s="64">
        <f>SUM(' Физический_ежемесячный'!W16:Y16)</f>
        <v>45472660</v>
      </c>
      <c r="L16" s="64">
        <f>SUM(' Физический_ежемесячный'!Z16:AB16)</f>
        <v>14703568</v>
      </c>
      <c r="M16" s="64">
        <f>SUM(' Физический_ежемесячный'!AC16:AE16)</f>
        <v>8758319.3499999996</v>
      </c>
      <c r="N16" s="64">
        <f>SUM(' Физический_ежемесячный'!AF16:AH16)</f>
        <v>21293519.530000001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 Физический_ежемесячный'!E17:G17)</f>
        <v>2016636757.1800001</v>
      </c>
      <c r="F17" s="64">
        <f>SUM(' Физический_ежемесячный'!H17:J17)</f>
        <v>1106026223.4300001</v>
      </c>
      <c r="G17" s="64">
        <f>SUM(' Физический_ежемесячный'!K17:M17)</f>
        <v>1068649944.98</v>
      </c>
      <c r="H17" s="64">
        <f>SUM(' Физический_ежемесячный'!N17:P17)</f>
        <v>1639738688.46</v>
      </c>
      <c r="I17" s="64">
        <f>SUM(' Физический_ежемесячный'!Q17:S17)</f>
        <v>1994721355.8300002</v>
      </c>
      <c r="J17" s="64">
        <f>SUM(' Физический_ежемесячный'!T17:V17)</f>
        <v>1151705456.8670001</v>
      </c>
      <c r="K17" s="64">
        <f>SUM(' Физический_ежемесячный'!W17:Y17)</f>
        <v>1208111631.9569998</v>
      </c>
      <c r="L17" s="64">
        <f>SUM(' Физический_ежемесячный'!Z17:AB17)</f>
        <v>1890141908.2819996</v>
      </c>
      <c r="M17" s="64">
        <f>SUM(' Физический_ежемесячный'!AC17:AE17)</f>
        <v>2231566778.1199999</v>
      </c>
      <c r="N17" s="64">
        <f>SUM(' Физический_ежемесячный'!AF17:AH17)</f>
        <v>1385386596.0710001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</row>
    <row r="19" spans="2:29" ht="13.15">
      <c r="B19" s="14" t="s">
        <v>0</v>
      </c>
      <c r="C19" s="9" t="s">
        <v>22</v>
      </c>
      <c r="D19" s="9"/>
      <c r="E19" s="70">
        <f>SUM(E7:E18)</f>
        <v>4928947249</v>
      </c>
      <c r="F19" s="70">
        <f t="shared" ref="F19:N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30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3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H21"/>
  <sheetViews>
    <sheetView topLeftCell="H1" zoomScale="80" zoomScaleNormal="80" workbookViewId="0">
      <selection activeCell="AG18" sqref="AG18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" style="7" bestFit="1" customWidth="1"/>
    <col min="6" max="31" width="8" style="7"/>
    <col min="32" max="32" width="8.73046875" style="7" customWidth="1"/>
    <col min="33" max="33" width="8.265625" style="7" customWidth="1"/>
    <col min="34" max="34" width="9" style="7" customWidth="1"/>
    <col min="35" max="36" width="13" style="7" bestFit="1" customWidth="1"/>
    <col min="37" max="16384" width="8" style="7"/>
  </cols>
  <sheetData>
    <row r="1" spans="1:34" s="6" customFormat="1" ht="15.4" thickBot="1">
      <c r="A1" s="3" t="s">
        <v>95</v>
      </c>
      <c r="B1" s="4"/>
      <c r="C1" s="5" t="s">
        <v>20</v>
      </c>
      <c r="D1" s="5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</row>
    <row r="2" spans="1:34">
      <c r="B2" s="11" t="s">
        <v>96</v>
      </c>
      <c r="C2" s="9" t="s">
        <v>22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</row>
    <row r="3" spans="1:34">
      <c r="B3" s="11" t="s">
        <v>122</v>
      </c>
      <c r="C3" s="9" t="s">
        <v>22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31">
        <v>4.5899999999999181</v>
      </c>
      <c r="AG3" s="131">
        <v>-7.9049999999999727</v>
      </c>
      <c r="AH3" s="131">
        <v>24.090000000000053</v>
      </c>
    </row>
    <row r="4" spans="1:34" s="74" customFormat="1" ht="13.15">
      <c r="B4" s="75" t="s">
        <v>0</v>
      </c>
      <c r="C4" s="76" t="s">
        <v>22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9">
        <f>SUM(AC2:AC3)</f>
        <v>1990.4</v>
      </c>
      <c r="AD4" s="129">
        <f t="shared" ref="AD4:AH4" si="1">SUM(AD2:AD3)</f>
        <v>1729.78</v>
      </c>
      <c r="AE4" s="129">
        <f t="shared" si="1"/>
        <v>1698.94</v>
      </c>
      <c r="AF4" s="129">
        <f t="shared" si="1"/>
        <v>1733.23</v>
      </c>
      <c r="AG4" s="129">
        <f t="shared" si="1"/>
        <v>1645.49</v>
      </c>
      <c r="AH4" s="129">
        <f t="shared" si="1"/>
        <v>1418.4600000000005</v>
      </c>
    </row>
    <row r="5" spans="1:34">
      <c r="B5" s="18"/>
      <c r="C5" s="17"/>
      <c r="D5" s="17"/>
    </row>
    <row r="6" spans="1:34" s="6" customFormat="1" ht="15.4" thickBot="1">
      <c r="A6" s="3" t="s">
        <v>93</v>
      </c>
      <c r="B6" s="4"/>
      <c r="C6" s="5" t="s">
        <v>20</v>
      </c>
      <c r="D6" s="5" t="s">
        <v>21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</row>
    <row r="7" spans="1:34" ht="16.350000000000001" customHeight="1">
      <c r="B7" s="44" t="s">
        <v>111</v>
      </c>
      <c r="C7" s="9" t="s">
        <v>110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</row>
    <row r="8" spans="1:34" ht="16.350000000000001" customHeight="1">
      <c r="B8" s="40" t="s">
        <v>112</v>
      </c>
      <c r="C8" s="9" t="s">
        <v>110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</row>
    <row r="9" spans="1:34" ht="16.350000000000001" customHeight="1">
      <c r="B9" s="40" t="s">
        <v>113</v>
      </c>
      <c r="C9" s="9" t="s">
        <v>110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</row>
    <row r="10" spans="1:34" ht="16.350000000000001" customHeight="1">
      <c r="B10" s="40" t="s">
        <v>114</v>
      </c>
      <c r="C10" s="9" t="s">
        <v>110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</row>
    <row r="11" spans="1:34" ht="16.350000000000001" customHeight="1">
      <c r="B11" s="40" t="s">
        <v>85</v>
      </c>
      <c r="C11" s="9" t="s">
        <v>110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</row>
    <row r="12" spans="1:34" ht="16.350000000000001" customHeight="1">
      <c r="B12" s="40" t="s">
        <v>115</v>
      </c>
      <c r="C12" s="9" t="s">
        <v>110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</row>
    <row r="13" spans="1:34" ht="16.350000000000001" customHeight="1">
      <c r="B13" s="40" t="s">
        <v>116</v>
      </c>
      <c r="C13" s="9" t="s">
        <v>110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</row>
    <row r="14" spans="1:34" ht="16.350000000000001" customHeight="1">
      <c r="B14" s="40" t="s">
        <v>117</v>
      </c>
      <c r="C14" s="9" t="s">
        <v>110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</row>
    <row r="15" spans="1:34" ht="16.350000000000001" customHeight="1">
      <c r="B15" s="40" t="s">
        <v>118</v>
      </c>
      <c r="C15" s="9" t="s">
        <v>110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</row>
    <row r="16" spans="1:34" ht="16.350000000000001" customHeight="1">
      <c r="B16" s="40" t="s">
        <v>101</v>
      </c>
      <c r="C16" s="9" t="s">
        <v>110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</row>
    <row r="17" spans="2:34" ht="16.350000000000001" customHeight="1">
      <c r="B17" s="40" t="s">
        <v>86</v>
      </c>
      <c r="C17" s="9" t="s">
        <v>110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</row>
    <row r="18" spans="2:34" ht="16.350000000000001" customHeight="1">
      <c r="B18" s="40" t="s">
        <v>2</v>
      </c>
      <c r="C18" s="9" t="s">
        <v>110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34" ht="16.350000000000001" customHeight="1">
      <c r="B19" s="41" t="s">
        <v>108</v>
      </c>
      <c r="C19" s="9" t="s">
        <v>110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H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</row>
    <row r="20" spans="2:34" ht="16.350000000000001" customHeight="1">
      <c r="B20" s="11"/>
      <c r="C20" s="9"/>
      <c r="D20" s="9"/>
    </row>
    <row r="21" spans="2:34">
      <c r="AF21" s="130"/>
      <c r="AG21" s="130"/>
      <c r="AH21" s="1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C165"/>
  <sheetViews>
    <sheetView topLeftCell="A10" zoomScale="85" zoomScaleNormal="85" workbookViewId="0">
      <selection activeCell="F113" sqref="F113"/>
    </sheetView>
  </sheetViews>
  <sheetFormatPr defaultColWidth="8" defaultRowHeight="12.75"/>
  <cols>
    <col min="1" max="1" width="8" style="27"/>
    <col min="2" max="2" width="41.86328125" style="24" customWidth="1"/>
    <col min="3" max="3" width="9.3984375" style="24" customWidth="1"/>
    <col min="4" max="4" width="7.73046875" style="24" customWidth="1"/>
    <col min="5" max="5" width="11.265625" style="27" bestFit="1" customWidth="1"/>
    <col min="6" max="6" width="10.86328125" style="27" customWidth="1"/>
    <col min="7" max="16384" width="8" style="2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21">
        <v>2023</v>
      </c>
      <c r="F1" s="22">
        <v>2024</v>
      </c>
    </row>
    <row r="2" spans="1:29" s="7" customFormat="1" ht="16.350000000000001" customHeight="1">
      <c r="B2" s="44" t="s">
        <v>111</v>
      </c>
      <c r="C2" s="9" t="s">
        <v>110</v>
      </c>
      <c r="D2" s="37"/>
      <c r="E2" s="64">
        <f>SUM(' Физический_ежемесячный'!E7:P7)</f>
        <v>2759753292.7666993</v>
      </c>
      <c r="F2" s="64">
        <f>SUM(' Физический_ежемесячный'!Q7:AB7)</f>
        <v>3256957526.3828001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7" customFormat="1" ht="16.350000000000001" customHeight="1">
      <c r="B3" s="40" t="s">
        <v>112</v>
      </c>
      <c r="C3" s="9" t="s">
        <v>110</v>
      </c>
      <c r="D3" s="39"/>
      <c r="E3" s="64">
        <f>SUM(' Физический_ежемесячный'!E8:P8)</f>
        <v>9897669.0399999991</v>
      </c>
      <c r="F3" s="64">
        <f>SUM(' Физический_ежемесячный'!Q8:AB8)</f>
        <v>8899757.166489996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s="7" customFormat="1" ht="16.350000000000001" customHeight="1">
      <c r="B4" s="40" t="s">
        <v>113</v>
      </c>
      <c r="C4" s="9" t="s">
        <v>110</v>
      </c>
      <c r="D4" s="39"/>
      <c r="E4" s="64">
        <f>SUM(' Физический_ежемесячный'!E9:P9)</f>
        <v>20008757.502399996</v>
      </c>
      <c r="F4" s="64">
        <f>SUM(' Физический_ежемесячный'!Q9:AB9)</f>
        <v>18179232.949999999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7" customFormat="1" ht="16.350000000000001" customHeight="1">
      <c r="B5" s="40" t="s">
        <v>114</v>
      </c>
      <c r="C5" s="9" t="s">
        <v>110</v>
      </c>
      <c r="D5" s="39"/>
      <c r="E5" s="64">
        <f>SUM(' Физический_ежемесячный'!E10:P10)</f>
        <v>606678919.37199998</v>
      </c>
      <c r="F5" s="64">
        <f>SUM(' Физический_ежемесячный'!Q10:AB10)</f>
        <v>635743772.2420001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s="7" customFormat="1" ht="16.350000000000001" customHeight="1">
      <c r="B6" s="40" t="s">
        <v>85</v>
      </c>
      <c r="C6" s="9" t="s">
        <v>110</v>
      </c>
      <c r="D6" s="39"/>
      <c r="E6" s="64">
        <f>SUM(' Физический_ежемесячный'!E11:P11)</f>
        <v>2081298157.1999996</v>
      </c>
      <c r="F6" s="64">
        <f>SUM(' Физический_ежемесячный'!Q11:AB11)</f>
        <v>1652931329.9400001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7" customFormat="1" ht="16.350000000000001" customHeight="1">
      <c r="B7" s="40" t="s">
        <v>115</v>
      </c>
      <c r="C7" s="9" t="s">
        <v>110</v>
      </c>
      <c r="D7" s="39"/>
      <c r="E7" s="64">
        <f>SUM(' Физический_ежемесячный'!E12:P12)</f>
        <v>648622898.63000011</v>
      </c>
      <c r="F7" s="64">
        <f>SUM(' Физический_ежемесячный'!Q12:AB12)</f>
        <v>665916167.74900007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s="7" customFormat="1" ht="16.350000000000001" customHeight="1">
      <c r="B8" s="40" t="s">
        <v>116</v>
      </c>
      <c r="C8" s="9" t="s">
        <v>110</v>
      </c>
      <c r="D8" s="39"/>
      <c r="E8" s="64">
        <f>SUM(' Физический_ежемесячный'!E13:P13)</f>
        <v>229558141</v>
      </c>
      <c r="F8" s="64">
        <f>SUM(' Физический_ежемесячный'!Q13:AB13)</f>
        <v>469285297.22000003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s="7" customFormat="1" ht="16.350000000000001" customHeight="1">
      <c r="B9" s="40" t="s">
        <v>117</v>
      </c>
      <c r="C9" s="9" t="s">
        <v>110</v>
      </c>
      <c r="D9" s="39"/>
      <c r="E9" s="64">
        <f>SUM(' Физический_ежемесячный'!E14:P14)</f>
        <v>1731908573.6299999</v>
      </c>
      <c r="F9" s="64">
        <f>SUM(' Физический_ежемесячный'!Q14:AB14)</f>
        <v>2037759758.46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7" customFormat="1" ht="16.350000000000001" customHeight="1">
      <c r="B10" s="40" t="s">
        <v>118</v>
      </c>
      <c r="C10" s="9" t="s">
        <v>110</v>
      </c>
      <c r="D10" s="39"/>
      <c r="E10" s="64">
        <f>SUM(' Физический_ежемесячный'!E15:P15)</f>
        <v>9797192</v>
      </c>
      <c r="F10" s="64">
        <f>SUM(' Физический_ежемесячный'!Q15:AB15)</f>
        <v>21349503.100000001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s="7" customFormat="1" ht="16.350000000000001" customHeight="1">
      <c r="B11" s="40" t="s">
        <v>101</v>
      </c>
      <c r="C11" s="9" t="s">
        <v>110</v>
      </c>
      <c r="D11" s="39"/>
      <c r="E11" s="64">
        <f>SUM(' Физический_ежемесячный'!E16:P16)</f>
        <v>117133296</v>
      </c>
      <c r="F11" s="64">
        <f>SUM(' Физический_ежемесячный'!Q16:AB16)</f>
        <v>107296474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s="7" customFormat="1" ht="16.350000000000001" customHeight="1">
      <c r="B12" s="40" t="s">
        <v>86</v>
      </c>
      <c r="C12" s="9" t="s">
        <v>110</v>
      </c>
      <c r="D12" s="39"/>
      <c r="E12" s="64">
        <f>SUM(' Физический_ежемесячный'!E17:P17)</f>
        <v>5831051614.0500002</v>
      </c>
      <c r="F12" s="64">
        <f>SUM(' Физический_ежемесячный'!Q17:AB17)</f>
        <v>6244680352.9359989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s="7" customFormat="1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s="7" customFormat="1" ht="16.350000000000001" customHeight="1">
      <c r="B14" s="41" t="s">
        <v>108</v>
      </c>
      <c r="C14" s="9" t="s">
        <v>110</v>
      </c>
      <c r="D14" s="39"/>
      <c r="E14" s="66">
        <f>SUBTOTAL(9,E2:E12)</f>
        <v>14045708511.191099</v>
      </c>
      <c r="F14" s="66">
        <f t="shared" ref="F14" si="0">SUBTOTAL(9,F2:F12)</f>
        <v>15118999172.14629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21">
        <v>2023</v>
      </c>
      <c r="F16" s="22">
        <v>2024</v>
      </c>
    </row>
    <row r="17" spans="1:29" s="7" customFormat="1" ht="16.350000000000001" customHeight="1">
      <c r="B17" s="44" t="s">
        <v>111</v>
      </c>
      <c r="C17" s="9" t="s">
        <v>120</v>
      </c>
      <c r="D17" s="37"/>
      <c r="E17" s="71">
        <f t="shared" ref="E17:F27" si="1">E39/E2</f>
        <v>0.68680993362924192</v>
      </c>
      <c r="F17" s="71">
        <f t="shared" si="1"/>
        <v>0.79171530171872595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s="7" customFormat="1" ht="16.350000000000001" customHeight="1">
      <c r="B18" s="40" t="s">
        <v>112</v>
      </c>
      <c r="C18" s="9" t="s">
        <v>120</v>
      </c>
      <c r="D18" s="39"/>
      <c r="E18" s="71">
        <f t="shared" si="1"/>
        <v>0.51130500186940986</v>
      </c>
      <c r="F18" s="71">
        <f t="shared" si="1"/>
        <v>0.55603055292706016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s="7" customFormat="1" ht="16.350000000000001" customHeight="1">
      <c r="B19" s="40" t="s">
        <v>113</v>
      </c>
      <c r="C19" s="9" t="s">
        <v>120</v>
      </c>
      <c r="D19" s="39"/>
      <c r="E19" s="71">
        <f t="shared" si="1"/>
        <v>0.52657583968775767</v>
      </c>
      <c r="F19" s="71">
        <f t="shared" si="1"/>
        <v>0.59056244403381186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s="7" customFormat="1" ht="16.350000000000001" customHeight="1">
      <c r="B20" s="40" t="s">
        <v>114</v>
      </c>
      <c r="C20" s="9" t="s">
        <v>120</v>
      </c>
      <c r="D20" s="39"/>
      <c r="E20" s="71">
        <f t="shared" si="1"/>
        <v>0.3059327764839907</v>
      </c>
      <c r="F20" s="71">
        <f t="shared" si="1"/>
        <v>0.35265646986327392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s="7" customFormat="1" ht="16.350000000000001" customHeight="1">
      <c r="B21" s="40" t="s">
        <v>85</v>
      </c>
      <c r="C21" s="9" t="s">
        <v>120</v>
      </c>
      <c r="D21" s="39"/>
      <c r="E21" s="71">
        <f t="shared" si="1"/>
        <v>0.1033422419182739</v>
      </c>
      <c r="F21" s="71">
        <f t="shared" si="1"/>
        <v>0.12012794778462917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s="7" customFormat="1" ht="16.350000000000001" customHeight="1">
      <c r="B22" s="40" t="s">
        <v>115</v>
      </c>
      <c r="C22" s="9" t="s">
        <v>120</v>
      </c>
      <c r="D22" s="39"/>
      <c r="E22" s="71">
        <f t="shared" si="1"/>
        <v>0.12553683522956938</v>
      </c>
      <c r="F22" s="71">
        <f t="shared" si="1"/>
        <v>0.14723233844663655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s="7" customFormat="1" ht="16.350000000000001" customHeight="1">
      <c r="B23" s="40" t="s">
        <v>116</v>
      </c>
      <c r="C23" s="9" t="s">
        <v>120</v>
      </c>
      <c r="D23" s="39"/>
      <c r="E23" s="71">
        <f t="shared" si="1"/>
        <v>8.9137589570391237E-2</v>
      </c>
      <c r="F23" s="71">
        <f t="shared" si="1"/>
        <v>0.10717530820451303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s="7" customFormat="1" ht="16.350000000000001" customHeight="1">
      <c r="B24" s="40" t="s">
        <v>117</v>
      </c>
      <c r="C24" s="9" t="s">
        <v>120</v>
      </c>
      <c r="D24" s="39"/>
      <c r="E24" s="71">
        <f t="shared" si="1"/>
        <v>0.16183622038577622</v>
      </c>
      <c r="F24" s="71">
        <f t="shared" si="1"/>
        <v>0.18099810115811546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s="7" customFormat="1" ht="16.350000000000001" customHeight="1">
      <c r="B25" s="40" t="s">
        <v>118</v>
      </c>
      <c r="C25" s="9" t="s">
        <v>120</v>
      </c>
      <c r="D25" s="39"/>
      <c r="E25" s="71">
        <f t="shared" si="1"/>
        <v>0.22160406977836097</v>
      </c>
      <c r="F25" s="71">
        <f t="shared" si="1"/>
        <v>0.17010004462352099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s="7" customFormat="1" ht="16.350000000000001" customHeight="1">
      <c r="B26" s="40" t="s">
        <v>101</v>
      </c>
      <c r="C26" s="9" t="s">
        <v>120</v>
      </c>
      <c r="D26" s="39"/>
      <c r="E26" s="71">
        <f t="shared" si="1"/>
        <v>0.46015642538651019</v>
      </c>
      <c r="F26" s="71">
        <f t="shared" si="1"/>
        <v>0.52314699464327219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s="7" customFormat="1" ht="16.350000000000001" customHeight="1">
      <c r="B27" s="40" t="s">
        <v>86</v>
      </c>
      <c r="C27" s="9" t="s">
        <v>120</v>
      </c>
      <c r="D27" s="39"/>
      <c r="E27" s="71">
        <f t="shared" si="1"/>
        <v>0.26593023899975121</v>
      </c>
      <c r="F27" s="71">
        <f t="shared" si="1"/>
        <v>0.30935559378305288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s="7" customFormat="1" ht="16.350000000000001" customHeight="1">
      <c r="B28" s="40" t="s">
        <v>2</v>
      </c>
      <c r="C28" s="9" t="s">
        <v>120</v>
      </c>
      <c r="D28" s="39"/>
      <c r="E28" s="71"/>
      <c r="F28" s="7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s="7" customFormat="1" ht="16.350000000000001" customHeight="1">
      <c r="B29" s="41" t="s">
        <v>108</v>
      </c>
      <c r="C29" s="9" t="s">
        <v>120</v>
      </c>
      <c r="D29" s="39"/>
      <c r="E29" s="73">
        <f>E51/E14</f>
        <v>0.3061867161023662</v>
      </c>
      <c r="F29" s="73">
        <f>F51/F14</f>
        <v>0.36548656267626667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21">
        <v>2023</v>
      </c>
      <c r="F31" s="22">
        <v>2024</v>
      </c>
    </row>
    <row r="32" spans="1:29" s="7" customFormat="1" ht="16.350000000000001" customHeight="1">
      <c r="B32" s="44" t="s">
        <v>150</v>
      </c>
      <c r="C32" s="9" t="s">
        <v>152</v>
      </c>
      <c r="D32" s="37"/>
      <c r="E32" s="55">
        <v>80656</v>
      </c>
      <c r="F32" s="55">
        <v>85259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s="7" customFormat="1" ht="16.350000000000001" customHeight="1">
      <c r="B33" s="40" t="s">
        <v>143</v>
      </c>
      <c r="C33" s="9" t="s">
        <v>152</v>
      </c>
      <c r="D33" s="39"/>
      <c r="E33" s="55">
        <v>16236</v>
      </c>
      <c r="F33" s="55">
        <v>16754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s="7" customFormat="1" ht="16.350000000000001" customHeight="1">
      <c r="B34" s="40" t="s">
        <v>85</v>
      </c>
      <c r="C34" s="9" t="s">
        <v>152</v>
      </c>
      <c r="D34" s="39"/>
      <c r="E34" s="55">
        <v>11610</v>
      </c>
      <c r="F34" s="55">
        <v>12901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s="7" customFormat="1" ht="16.350000000000001" customHeight="1">
      <c r="B35" s="40" t="s">
        <v>151</v>
      </c>
      <c r="C35" s="9" t="s">
        <v>152</v>
      </c>
      <c r="D35" s="39"/>
      <c r="E35" s="55">
        <v>1765133</v>
      </c>
      <c r="F35" s="55">
        <v>1866987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s="7" customFormat="1" ht="16.350000000000001" customHeight="1">
      <c r="B36" s="41" t="s">
        <v>108</v>
      </c>
      <c r="C36" s="76" t="s">
        <v>152</v>
      </c>
      <c r="D36" s="39"/>
      <c r="E36" s="56">
        <f>SUBTOTAL(9,E32:E35)</f>
        <v>1873635</v>
      </c>
      <c r="F36" s="56">
        <f t="shared" ref="F36" si="2">SUBTOTAL(9,F32:F35)</f>
        <v>1981901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21">
        <v>2023</v>
      </c>
      <c r="F38" s="22">
        <v>2024</v>
      </c>
    </row>
    <row r="39" spans="1:29" s="7" customFormat="1" ht="16.350000000000001" customHeight="1">
      <c r="B39" s="44" t="s">
        <v>111</v>
      </c>
      <c r="C39" s="9" t="s">
        <v>110</v>
      </c>
      <c r="D39" s="37"/>
      <c r="E39" s="64">
        <f>SUM(' Коммерческий_ежемесячно'!E42:P42)</f>
        <v>1895425975.8381786</v>
      </c>
      <c r="F39" s="64">
        <f>SUM(' Коммерческий_ежемесячно'!Q42:AB42)</f>
        <v>2578583110.6852341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s="7" customFormat="1" ht="16.350000000000001" customHeight="1">
      <c r="B40" s="40" t="s">
        <v>112</v>
      </c>
      <c r="C40" s="9" t="s">
        <v>110</v>
      </c>
      <c r="D40" s="39"/>
      <c r="E40" s="64">
        <f>SUM(' Коммерческий_ежемесячно'!E43:P43)</f>
        <v>5060727.6869999999</v>
      </c>
      <c r="F40" s="64">
        <f>SUM(' Коммерческий_ежемесячно'!Q43:AB43)</f>
        <v>4948536.8981999988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s="7" customFormat="1" ht="16.350000000000001" customHeight="1">
      <c r="B41" s="40" t="s">
        <v>113</v>
      </c>
      <c r="C41" s="9" t="s">
        <v>110</v>
      </c>
      <c r="D41" s="39"/>
      <c r="E41" s="64">
        <f>SUM(' Коммерческий_ежемесячно'!E44:P44)</f>
        <v>10536128.282934999</v>
      </c>
      <c r="F41" s="64">
        <f>SUM(' Коммерческий_ежемесячно'!Q44:AB44)</f>
        <v>10735972.241612002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s="7" customFormat="1" ht="16.350000000000001" customHeight="1">
      <c r="B42" s="40" t="s">
        <v>114</v>
      </c>
      <c r="C42" s="9" t="s">
        <v>110</v>
      </c>
      <c r="D42" s="39"/>
      <c r="E42" s="64">
        <f>SUM(' Коммерческий_ежемесячно'!E45:P45)</f>
        <v>185602966.23778307</v>
      </c>
      <c r="F42" s="64">
        <f>SUM(' Коммерческий_ежемесячно'!Q45:AB45)</f>
        <v>224199154.45642498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s="7" customFormat="1" ht="16.350000000000001" customHeight="1">
      <c r="B43" s="40" t="s">
        <v>85</v>
      </c>
      <c r="C43" s="9" t="s">
        <v>110</v>
      </c>
      <c r="D43" s="39"/>
      <c r="E43" s="64">
        <f>SUM(' Коммерческий_ежемесячно'!E46:P46)</f>
        <v>215086017.66542003</v>
      </c>
      <c r="F43" s="64">
        <f>SUM(' Коммерческий_ежемесячно'!Q46:AB46)</f>
        <v>198563248.49460998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s="7" customFormat="1" ht="16.350000000000001" customHeight="1">
      <c r="B44" s="40" t="s">
        <v>115</v>
      </c>
      <c r="C44" s="9" t="s">
        <v>110</v>
      </c>
      <c r="D44" s="39"/>
      <c r="E44" s="64">
        <f>SUM(' Коммерческий_ежемесячно'!E47:P47)</f>
        <v>81426065.951440006</v>
      </c>
      <c r="F44" s="64">
        <f>SUM(' Коммерческий_ежемесячно'!Q47:AB47)</f>
        <v>98044394.587107986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s="7" customFormat="1" ht="16.350000000000001" customHeight="1">
      <c r="B45" s="40" t="s">
        <v>116</v>
      </c>
      <c r="C45" s="9" t="s">
        <v>110</v>
      </c>
      <c r="D45" s="39"/>
      <c r="E45" s="64">
        <f>SUM(' Коммерческий_ежемесячно'!E48:P48)</f>
        <v>20462259.355</v>
      </c>
      <c r="F45" s="64">
        <f>SUM(' Коммерческий_ежемесячно'!Q48:AB48)</f>
        <v>50295796.365400001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s="7" customFormat="1" ht="16.350000000000001" customHeight="1">
      <c r="B46" s="40" t="s">
        <v>117</v>
      </c>
      <c r="C46" s="9" t="s">
        <v>110</v>
      </c>
      <c r="D46" s="39"/>
      <c r="E46" s="64">
        <f>SUM(' Коммерческий_ежемесячно'!E49:P49)</f>
        <v>280285537.61000001</v>
      </c>
      <c r="F46" s="64">
        <f>SUM(' Коммерческий_ежемесячно'!Q49:AB49)</f>
        <v>368830646.89767998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s="7" customFormat="1" ht="16.350000000000001" customHeight="1">
      <c r="B47" s="40" t="s">
        <v>118</v>
      </c>
      <c r="C47" s="9" t="s">
        <v>110</v>
      </c>
      <c r="D47" s="39"/>
      <c r="E47" s="64">
        <f>SUM(' Коммерческий_ежемесячно'!E50:P50)</f>
        <v>2171097.6195999999</v>
      </c>
      <c r="F47" s="64">
        <f>SUM(' Коммерческий_ежемесячно'!Q50:AB50)</f>
        <v>3631551.4299999997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7" customFormat="1" ht="16.350000000000001" customHeight="1">
      <c r="B48" s="40" t="s">
        <v>101</v>
      </c>
      <c r="C48" s="9" t="s">
        <v>110</v>
      </c>
      <c r="D48" s="39"/>
      <c r="E48" s="64">
        <f>SUM(' Коммерческий_ежемесячно'!E51:P51)</f>
        <v>53899638.781100012</v>
      </c>
      <c r="F48" s="64">
        <f>SUM(' Коммерческий_ежемесячно'!Q51:AB51)</f>
        <v>56131827.908919998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s="7" customFormat="1" ht="16.350000000000001" customHeight="1">
      <c r="B49" s="40" t="s">
        <v>86</v>
      </c>
      <c r="C49" s="9" t="s">
        <v>110</v>
      </c>
      <c r="D49" s="39"/>
      <c r="E49" s="64">
        <f>SUM(' Коммерческий_ежемесячно'!E52:P52)</f>
        <v>1550652949.3442016</v>
      </c>
      <c r="F49" s="64">
        <f>SUM(' Коммерческий_ежемесячно'!Q52:AB52)</f>
        <v>1931826798.5678802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s="7" customFormat="1" ht="16.350000000000001" customHeight="1">
      <c r="B50" s="40" t="s">
        <v>2</v>
      </c>
      <c r="C50" s="9" t="s">
        <v>110</v>
      </c>
      <c r="D50" s="39"/>
      <c r="E50" s="64">
        <f>SUM(' Коммерческий_ежемесячно'!E53:P53)</f>
        <v>0</v>
      </c>
      <c r="F50" s="64">
        <f>SUM(' Коммерческий_ежемесячно'!Q53:AB53)</f>
        <v>0</v>
      </c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s="7" customFormat="1" ht="16.350000000000001" customHeight="1">
      <c r="B51" s="41" t="s">
        <v>108</v>
      </c>
      <c r="C51" s="9" t="s">
        <v>110</v>
      </c>
      <c r="D51" s="39"/>
      <c r="E51" s="66">
        <f>SUBTOTAL(9,E39:E49)</f>
        <v>4300609364.3726578</v>
      </c>
      <c r="F51" s="66">
        <f t="shared" ref="F51" si="3">SUBTOTAL(9,F39:F49)</f>
        <v>5525791038.5330687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21">
        <v>2023</v>
      </c>
      <c r="F53" s="22">
        <v>2024</v>
      </c>
    </row>
    <row r="54" spans="1:29" s="7" customFormat="1" ht="16.350000000000001" customHeight="1">
      <c r="B54" s="44" t="s">
        <v>111</v>
      </c>
      <c r="C54" s="9" t="s">
        <v>110</v>
      </c>
      <c r="D54" s="37"/>
      <c r="E54" s="64">
        <f>SUM(' Коммерческий_ежемесячно'!E57:P57)</f>
        <v>1799359130.342</v>
      </c>
      <c r="F54" s="64">
        <f>SUM(' Коммерческий_ежемесячно'!Q57:AB57)</f>
        <v>2469191144.4134469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s="7" customFormat="1" ht="16.350000000000001" customHeight="1">
      <c r="B55" s="40" t="s">
        <v>112</v>
      </c>
      <c r="C55" s="9" t="s">
        <v>110</v>
      </c>
      <c r="D55" s="39"/>
      <c r="E55" s="64">
        <f>SUM(' Коммерческий_ежемесячно'!E58:P58)</f>
        <v>2459777.4800000004</v>
      </c>
      <c r="F55" s="64">
        <f>SUM(' Коммерческий_ежемесячно'!Q58:AB58)</f>
        <v>3185995.5908400007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s="7" customFormat="1" ht="16.350000000000001" customHeight="1">
      <c r="B56" s="40" t="s">
        <v>113</v>
      </c>
      <c r="C56" s="9" t="s">
        <v>110</v>
      </c>
      <c r="D56" s="39"/>
      <c r="E56" s="64">
        <f>SUM(' Коммерческий_ежемесячно'!E59:P59)</f>
        <v>8876541.75</v>
      </c>
      <c r="F56" s="64">
        <f>SUM(' Коммерческий_ежемесячно'!Q59:AB59)</f>
        <v>52434980.338999994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s="7" customFormat="1" ht="16.350000000000001" customHeight="1">
      <c r="B57" s="40" t="s">
        <v>114</v>
      </c>
      <c r="C57" s="9" t="s">
        <v>110</v>
      </c>
      <c r="D57" s="39"/>
      <c r="E57" s="64">
        <f>SUM(' Коммерческий_ежемесячно'!E60:P60)</f>
        <v>190572980.91</v>
      </c>
      <c r="F57" s="64">
        <f>SUM(' Коммерческий_ежемесячно'!Q60:AB60)</f>
        <v>194828434.21000001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s="7" customFormat="1" ht="16.350000000000001" customHeight="1">
      <c r="B58" s="40" t="s">
        <v>85</v>
      </c>
      <c r="C58" s="9" t="s">
        <v>110</v>
      </c>
      <c r="D58" s="39"/>
      <c r="E58" s="64">
        <f>SUM(' Коммерческий_ежемесячно'!E61:P61)</f>
        <v>427878884.53999996</v>
      </c>
      <c r="F58" s="64">
        <f>SUM(' Коммерческий_ежемесячно'!Q61:AB61)</f>
        <v>118204644.15000001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s="7" customFormat="1" ht="16.350000000000001" customHeight="1">
      <c r="B59" s="40" t="s">
        <v>115</v>
      </c>
      <c r="C59" s="9" t="s">
        <v>110</v>
      </c>
      <c r="D59" s="39"/>
      <c r="E59" s="64">
        <f>SUM(' Коммерческий_ежемесячно'!E62:P62)</f>
        <v>33619186.240000002</v>
      </c>
      <c r="F59" s="64">
        <f>SUM(' Коммерческий_ежемесячно'!Q62:AB62)</f>
        <v>56153520.526000001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s="7" customFormat="1" ht="16.350000000000001" customHeight="1">
      <c r="B60" s="40" t="s">
        <v>116</v>
      </c>
      <c r="C60" s="9" t="s">
        <v>110</v>
      </c>
      <c r="D60" s="39"/>
      <c r="E60" s="64">
        <f>SUM(' Коммерческий_ежемесячно'!E63:P63)</f>
        <v>142290560.55999994</v>
      </c>
      <c r="F60" s="64">
        <f>SUM(' Коммерческий_ежемесячно'!Q63:AB63)</f>
        <v>11293159.530000001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s="7" customFormat="1" ht="16.350000000000001" customHeight="1">
      <c r="B61" s="40" t="s">
        <v>117</v>
      </c>
      <c r="C61" s="9" t="s">
        <v>110</v>
      </c>
      <c r="D61" s="39"/>
      <c r="E61" s="64">
        <f>SUM(' Коммерческий_ежемесячно'!E64:P64)</f>
        <v>65000000</v>
      </c>
      <c r="F61" s="64">
        <f>SUM(' Коммерческий_ежемесячно'!Q64:AB64)</f>
        <v>148500000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s="7" customFormat="1" ht="16.350000000000001" customHeight="1">
      <c r="B62" s="40" t="s">
        <v>118</v>
      </c>
      <c r="C62" s="9" t="s">
        <v>110</v>
      </c>
      <c r="D62" s="39"/>
      <c r="E62" s="64">
        <f>SUM(' Коммерческий_ежемесячно'!E65:P65)</f>
        <v>1592085.37</v>
      </c>
      <c r="F62" s="64">
        <f>SUM(' Коммерческий_ежемесячно'!Q65:AB65)</f>
        <v>1087145.95</v>
      </c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s="7" customFormat="1" ht="16.350000000000001" customHeight="1">
      <c r="B63" s="40" t="s">
        <v>101</v>
      </c>
      <c r="C63" s="9" t="s">
        <v>110</v>
      </c>
      <c r="D63" s="39"/>
      <c r="E63" s="64">
        <f>SUM(' Коммерческий_ежемесячно'!E66:P66)</f>
        <v>22352640.18</v>
      </c>
      <c r="F63" s="64">
        <f>SUM(' Коммерческий_ежемесячно'!Q66:AB66)</f>
        <v>46700000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s="7" customFormat="1" ht="16.350000000000001" customHeight="1">
      <c r="B64" s="40" t="s">
        <v>86</v>
      </c>
      <c r="C64" s="9" t="s">
        <v>110</v>
      </c>
      <c r="D64" s="39"/>
      <c r="E64" s="64">
        <f>SUM(' Коммерческий_ежемесячно'!E67:P67)</f>
        <v>1449156724.1199999</v>
      </c>
      <c r="F64" s="64">
        <f>SUM(' Коммерческий_ежемесячно'!Q67:AB67)</f>
        <v>1782266530.7714252</v>
      </c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s="7" customFormat="1" ht="16.350000000000001" customHeight="1">
      <c r="B65" s="40" t="s">
        <v>2</v>
      </c>
      <c r="C65" s="9" t="s">
        <v>110</v>
      </c>
      <c r="D65" s="39"/>
      <c r="E65" s="64">
        <f>SUM(' Коммерческий_ежемесячно'!E68:P68)</f>
        <v>0</v>
      </c>
      <c r="F65" s="64">
        <f>SUM(' Коммерческий_ежемесячно'!Q68:AB68)</f>
        <v>0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ht="16.350000000000001" customHeight="1">
      <c r="B66" s="29" t="s">
        <v>3</v>
      </c>
      <c r="C66" s="28" t="s">
        <v>65</v>
      </c>
      <c r="D66" s="28"/>
      <c r="E66" s="70">
        <f>SUM(E54:E65)</f>
        <v>4143158511.4919996</v>
      </c>
      <c r="F66" s="70">
        <f>SUM(F54:F65)</f>
        <v>4883845555.4807129</v>
      </c>
    </row>
    <row r="67" spans="1:29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21">
        <v>2023</v>
      </c>
      <c r="F68" s="22">
        <v>2024</v>
      </c>
    </row>
    <row r="69" spans="1:29" s="7" customFormat="1" ht="16.350000000000001" customHeight="1">
      <c r="B69" s="44" t="s">
        <v>111</v>
      </c>
      <c r="C69" s="9" t="s">
        <v>110</v>
      </c>
      <c r="D69" s="37"/>
      <c r="E69" s="38">
        <f>E54/E39</f>
        <v>0.94931648783925904</v>
      </c>
      <c r="F69" s="38">
        <f>F54/F39</f>
        <v>0.9575767149724651</v>
      </c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s="7" customFormat="1" ht="16.350000000000001" customHeight="1">
      <c r="B70" s="40" t="s">
        <v>112</v>
      </c>
      <c r="C70" s="9" t="s">
        <v>110</v>
      </c>
      <c r="D70" s="39"/>
      <c r="E70" s="38">
        <f t="shared" ref="E70:F81" si="4">E55/E40</f>
        <v>0.48605213165661498</v>
      </c>
      <c r="F70" s="38">
        <f t="shared" si="4"/>
        <v>0.64382577242151873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s="7" customFormat="1" ht="16.350000000000001" customHeight="1">
      <c r="B71" s="40" t="s">
        <v>113</v>
      </c>
      <c r="C71" s="9" t="s">
        <v>110</v>
      </c>
      <c r="D71" s="39"/>
      <c r="E71" s="38">
        <f t="shared" si="4"/>
        <v>0.8424861117510335</v>
      </c>
      <c r="F71" s="38">
        <f t="shared" si="4"/>
        <v>4.8840458189492209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s="7" customFormat="1" ht="16.350000000000001" customHeight="1">
      <c r="B72" s="40" t="s">
        <v>114</v>
      </c>
      <c r="C72" s="9" t="s">
        <v>110</v>
      </c>
      <c r="D72" s="39"/>
      <c r="E72" s="38">
        <f t="shared" si="4"/>
        <v>1.0267776683366667</v>
      </c>
      <c r="F72" s="38">
        <f t="shared" si="4"/>
        <v>0.86899718548165439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s="7" customFormat="1" ht="16.350000000000001" customHeight="1">
      <c r="B73" s="40" t="s">
        <v>85</v>
      </c>
      <c r="C73" s="9" t="s">
        <v>110</v>
      </c>
      <c r="D73" s="39"/>
      <c r="E73" s="38">
        <f t="shared" si="4"/>
        <v>1.9893384478650433</v>
      </c>
      <c r="F73" s="38">
        <f t="shared" si="4"/>
        <v>0.59529970951904865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s="7" customFormat="1" ht="16.350000000000001" customHeight="1">
      <c r="B74" s="40" t="s">
        <v>115</v>
      </c>
      <c r="C74" s="9" t="s">
        <v>110</v>
      </c>
      <c r="D74" s="39"/>
      <c r="E74" s="38">
        <f t="shared" si="4"/>
        <v>0.41287990334752817</v>
      </c>
      <c r="F74" s="38">
        <f t="shared" si="4"/>
        <v>0.57273565472537191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s="7" customFormat="1" ht="16.350000000000001" customHeight="1">
      <c r="B75" s="40" t="s">
        <v>116</v>
      </c>
      <c r="C75" s="9" t="s">
        <v>110</v>
      </c>
      <c r="D75" s="39"/>
      <c r="E75" s="38">
        <f t="shared" si="4"/>
        <v>6.953804958259945</v>
      </c>
      <c r="F75" s="38">
        <f t="shared" si="4"/>
        <v>0.2245348586978316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s="7" customFormat="1" ht="16.350000000000001" customHeight="1">
      <c r="B76" s="40" t="s">
        <v>117</v>
      </c>
      <c r="C76" s="9" t="s">
        <v>110</v>
      </c>
      <c r="D76" s="39"/>
      <c r="E76" s="38">
        <f t="shared" si="4"/>
        <v>0.23190636432495307</v>
      </c>
      <c r="F76" s="38">
        <f t="shared" si="4"/>
        <v>0.40262380919011992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s="7" customFormat="1" ht="16.350000000000001" customHeight="1">
      <c r="B77" s="40" t="s">
        <v>118</v>
      </c>
      <c r="C77" s="9" t="s">
        <v>110</v>
      </c>
      <c r="D77" s="39"/>
      <c r="E77" s="38">
        <f t="shared" si="4"/>
        <v>0.73330897497521264</v>
      </c>
      <c r="F77" s="38">
        <f t="shared" si="4"/>
        <v>0.29936129804445588</v>
      </c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s="7" customFormat="1" ht="16.350000000000001" customHeight="1">
      <c r="B78" s="40" t="s">
        <v>101</v>
      </c>
      <c r="C78" s="9" t="s">
        <v>110</v>
      </c>
      <c r="D78" s="39"/>
      <c r="E78" s="38">
        <f t="shared" si="4"/>
        <v>0.41470853396216056</v>
      </c>
      <c r="F78" s="38">
        <f t="shared" si="4"/>
        <v>0.83197005584382244</v>
      </c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s="7" customFormat="1" ht="16.350000000000001" customHeight="1">
      <c r="B79" s="40" t="s">
        <v>86</v>
      </c>
      <c r="C79" s="9" t="s">
        <v>110</v>
      </c>
      <c r="D79" s="39"/>
      <c r="E79" s="38">
        <f t="shared" si="4"/>
        <v>0.93454613731130087</v>
      </c>
      <c r="F79" s="38">
        <f t="shared" si="4"/>
        <v>0.92258091258112351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s="7" customFormat="1" ht="16.350000000000001" customHeight="1">
      <c r="B80" s="40" t="s">
        <v>2</v>
      </c>
      <c r="C80" s="9" t="s">
        <v>110</v>
      </c>
      <c r="D80" s="39"/>
      <c r="E80" s="38"/>
      <c r="F80" s="38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ht="16.350000000000001" customHeight="1">
      <c r="B81" s="29" t="s">
        <v>3</v>
      </c>
      <c r="C81" s="28" t="s">
        <v>65</v>
      </c>
      <c r="D81" s="28"/>
      <c r="E81" s="72">
        <f t="shared" si="4"/>
        <v>0.96338871086850597</v>
      </c>
      <c r="F81" s="72">
        <f t="shared" si="4"/>
        <v>0.88382740523920122</v>
      </c>
    </row>
    <row r="82" spans="1:29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21">
        <v>2023</v>
      </c>
      <c r="F83" s="22">
        <v>2024</v>
      </c>
    </row>
    <row r="84" spans="1:29" s="7" customFormat="1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s="7" customFormat="1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s="7" customFormat="1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s="7" customFormat="1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s="7" customFormat="1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s="7" customFormat="1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s="7" customFormat="1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s="7" customFormat="1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s="7" customFormat="1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s="7" customFormat="1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s="7" customFormat="1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s="7" customFormat="1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38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</row>
    <row r="97" spans="1:29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21">
        <v>2023</v>
      </c>
      <c r="F98" s="22">
        <v>2024</v>
      </c>
    </row>
    <row r="99" spans="1:29" s="7" customFormat="1" ht="16.350000000000001" customHeight="1">
      <c r="B99" s="44" t="s">
        <v>111</v>
      </c>
      <c r="C99" s="9" t="s">
        <v>110</v>
      </c>
      <c r="D99" s="37"/>
      <c r="E99" s="64">
        <f>E39-E54</f>
        <v>96066845.496178627</v>
      </c>
      <c r="F99" s="64">
        <f>F39-F54</f>
        <v>109391966.27178717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s="7" customFormat="1" ht="16.350000000000001" customHeight="1">
      <c r="B100" s="40" t="s">
        <v>112</v>
      </c>
      <c r="C100" s="9" t="s">
        <v>110</v>
      </c>
      <c r="D100" s="39"/>
      <c r="E100" s="64">
        <f t="shared" ref="E100:F100" si="5">E40-E55</f>
        <v>2600950.2069999995</v>
      </c>
      <c r="F100" s="64">
        <f t="shared" si="5"/>
        <v>1762541.3073599981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s="7" customFormat="1" ht="16.350000000000001" customHeight="1">
      <c r="B101" s="40" t="s">
        <v>113</v>
      </c>
      <c r="C101" s="9" t="s">
        <v>110</v>
      </c>
      <c r="D101" s="39"/>
      <c r="E101" s="64">
        <f t="shared" ref="E101:F101" si="6">E41-E56</f>
        <v>1659586.5329349991</v>
      </c>
      <c r="F101" s="64">
        <f t="shared" si="6"/>
        <v>-41699008.097387992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s="7" customFormat="1" ht="16.350000000000001" customHeight="1">
      <c r="B102" s="40" t="s">
        <v>114</v>
      </c>
      <c r="C102" s="9" t="s">
        <v>110</v>
      </c>
      <c r="D102" s="39"/>
      <c r="E102" s="64">
        <f t="shared" ref="E102:F102" si="7">E42-E57</f>
        <v>-4970014.672216922</v>
      </c>
      <c r="F102" s="64">
        <f t="shared" si="7"/>
        <v>29370720.246424973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s="7" customFormat="1" ht="16.350000000000001" customHeight="1">
      <c r="B103" s="40" t="s">
        <v>85</v>
      </c>
      <c r="C103" s="9" t="s">
        <v>110</v>
      </c>
      <c r="D103" s="39"/>
      <c r="E103" s="64">
        <f t="shared" ref="E103:F103" si="8">E43-E58</f>
        <v>-212792866.87457994</v>
      </c>
      <c r="F103" s="64">
        <f t="shared" si="8"/>
        <v>80358604.344609976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s="7" customFormat="1" ht="16.350000000000001" customHeight="1">
      <c r="B104" s="40" t="s">
        <v>115</v>
      </c>
      <c r="C104" s="9" t="s">
        <v>110</v>
      </c>
      <c r="D104" s="39"/>
      <c r="E104" s="64">
        <f t="shared" ref="E104:F104" si="9">E44-E59</f>
        <v>47806879.711440004</v>
      </c>
      <c r="F104" s="64">
        <f t="shared" si="9"/>
        <v>41890874.061107986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s="7" customFormat="1" ht="16.350000000000001" customHeight="1">
      <c r="B105" s="40" t="s">
        <v>116</v>
      </c>
      <c r="C105" s="9" t="s">
        <v>110</v>
      </c>
      <c r="D105" s="39"/>
      <c r="E105" s="64">
        <f t="shared" ref="E105:F105" si="10">E45-E60</f>
        <v>-121828301.20499994</v>
      </c>
      <c r="F105" s="64">
        <f t="shared" si="10"/>
        <v>39002636.8354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s="7" customFormat="1" ht="16.350000000000001" customHeight="1">
      <c r="B106" s="40" t="s">
        <v>117</v>
      </c>
      <c r="C106" s="9" t="s">
        <v>110</v>
      </c>
      <c r="D106" s="39"/>
      <c r="E106" s="64">
        <f t="shared" ref="E106:F106" si="11">E46-E61</f>
        <v>215285537.61000001</v>
      </c>
      <c r="F106" s="64">
        <f t="shared" si="11"/>
        <v>220330646.89767998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s="7" customFormat="1" ht="16.350000000000001" customHeight="1">
      <c r="B107" s="40" t="s">
        <v>118</v>
      </c>
      <c r="C107" s="9" t="s">
        <v>110</v>
      </c>
      <c r="D107" s="39"/>
      <c r="E107" s="64">
        <f t="shared" ref="E107:F107" si="12">E47-E62</f>
        <v>579012.24959999975</v>
      </c>
      <c r="F107" s="64">
        <f t="shared" si="12"/>
        <v>2544405.4799999995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s="7" customFormat="1" ht="16.350000000000001" customHeight="1">
      <c r="B108" s="40" t="s">
        <v>101</v>
      </c>
      <c r="C108" s="9" t="s">
        <v>110</v>
      </c>
      <c r="D108" s="39"/>
      <c r="E108" s="64">
        <f t="shared" ref="E108:F108" si="13">E48-E63</f>
        <v>31546998.601100013</v>
      </c>
      <c r="F108" s="64">
        <f t="shared" si="13"/>
        <v>9431827.9089199975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s="7" customFormat="1" ht="16.350000000000001" customHeight="1">
      <c r="B109" s="40" t="s">
        <v>86</v>
      </c>
      <c r="C109" s="9" t="s">
        <v>110</v>
      </c>
      <c r="D109" s="39"/>
      <c r="E109" s="64">
        <f t="shared" ref="E109:F109" si="14">E49-E64</f>
        <v>101496225.22420168</v>
      </c>
      <c r="F109" s="64">
        <f t="shared" si="14"/>
        <v>149560267.79645491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s="7" customFormat="1" ht="16.350000000000001" customHeight="1">
      <c r="B110" s="40" t="s">
        <v>2</v>
      </c>
      <c r="C110" s="9" t="s">
        <v>110</v>
      </c>
      <c r="D110" s="39"/>
      <c r="E110" s="64">
        <f t="shared" ref="E110:F110" si="15">E50-E65</f>
        <v>0</v>
      </c>
      <c r="F110" s="64">
        <f t="shared" si="15"/>
        <v>0</v>
      </c>
      <c r="G110" s="64"/>
      <c r="H110" s="38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ht="16.350000000000001" customHeight="1">
      <c r="B111" s="29" t="s">
        <v>3</v>
      </c>
      <c r="C111" s="28" t="s">
        <v>65</v>
      </c>
      <c r="D111" s="28"/>
      <c r="E111" s="70">
        <f>SUM(E99:E110)</f>
        <v>157450852.88065857</v>
      </c>
      <c r="F111" s="70">
        <f>SUM(F99:F110)</f>
        <v>641945483.05235696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21">
        <v>2023</v>
      </c>
      <c r="F112" s="22">
        <v>2024</v>
      </c>
      <c r="G112" s="80"/>
      <c r="H112" s="81"/>
      <c r="I112" s="80"/>
      <c r="J112" s="81"/>
      <c r="K112" s="80"/>
      <c r="L112" s="80"/>
    </row>
    <row r="113" spans="2:12" s="83" customFormat="1" ht="16.350000000000001" customHeight="1">
      <c r="B113" s="84" t="s">
        <v>128</v>
      </c>
      <c r="C113" s="85" t="s">
        <v>65</v>
      </c>
      <c r="D113" s="85"/>
      <c r="E113" s="90">
        <v>351.745</v>
      </c>
      <c r="F113" s="90">
        <v>571.57600000000002</v>
      </c>
      <c r="G113" s="90"/>
      <c r="H113" s="90"/>
      <c r="I113" s="90"/>
      <c r="J113" s="90"/>
      <c r="K113" s="90"/>
      <c r="L113" s="90"/>
    </row>
    <row r="114" spans="2:12" s="83" customFormat="1" ht="16.350000000000001" customHeight="1">
      <c r="B114" s="86" t="s">
        <v>129</v>
      </c>
      <c r="C114" s="85" t="s">
        <v>65</v>
      </c>
      <c r="D114" s="85"/>
      <c r="E114" s="90">
        <v>39.533999999999999</v>
      </c>
      <c r="F114" s="90">
        <v>43.055999999999997</v>
      </c>
      <c r="G114" s="90"/>
      <c r="H114" s="90"/>
      <c r="I114" s="90"/>
      <c r="J114" s="90"/>
      <c r="K114" s="90"/>
      <c r="L114" s="90"/>
    </row>
    <row r="115" spans="2:12" s="83" customFormat="1" ht="16.350000000000001" customHeight="1">
      <c r="B115" s="84" t="s">
        <v>130</v>
      </c>
      <c r="C115" s="85" t="s">
        <v>65</v>
      </c>
      <c r="D115" s="85"/>
      <c r="E115" s="90">
        <v>31.942</v>
      </c>
      <c r="F115" s="90">
        <v>41.372</v>
      </c>
      <c r="G115" s="90"/>
      <c r="H115" s="90"/>
      <c r="I115" s="90"/>
      <c r="J115" s="90"/>
      <c r="K115" s="90"/>
      <c r="L115" s="90"/>
    </row>
    <row r="116" spans="2:12" s="83" customFormat="1" ht="16.350000000000001" customHeight="1">
      <c r="B116" s="87" t="s">
        <v>131</v>
      </c>
      <c r="C116" s="85" t="s">
        <v>65</v>
      </c>
      <c r="D116" s="88"/>
      <c r="E116" s="90">
        <v>6.2629999999999999</v>
      </c>
      <c r="F116" s="90">
        <v>14.337</v>
      </c>
      <c r="G116" s="90"/>
      <c r="H116" s="90"/>
      <c r="I116" s="90"/>
      <c r="J116" s="90"/>
      <c r="K116" s="90"/>
      <c r="L116" s="90"/>
    </row>
    <row r="117" spans="2:12" s="83" customFormat="1" ht="16.350000000000001" customHeight="1">
      <c r="B117" s="84" t="s">
        <v>132</v>
      </c>
      <c r="C117" s="85" t="s">
        <v>65</v>
      </c>
      <c r="D117" s="89"/>
      <c r="E117" s="90">
        <v>6.83</v>
      </c>
      <c r="F117" s="90">
        <v>6.8710000000000004</v>
      </c>
      <c r="G117" s="90"/>
      <c r="H117" s="90"/>
      <c r="I117" s="90"/>
      <c r="J117" s="90"/>
      <c r="K117" s="90"/>
      <c r="L117" s="90"/>
    </row>
    <row r="118" spans="2:12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/>
      <c r="H118" s="90"/>
      <c r="I118" s="90"/>
      <c r="J118" s="90"/>
      <c r="K118" s="90"/>
      <c r="L118" s="90"/>
    </row>
    <row r="119" spans="2:12" s="83" customFormat="1" ht="16.350000000000001" customHeight="1">
      <c r="B119" s="84" t="s">
        <v>134</v>
      </c>
      <c r="C119" s="85" t="s">
        <v>65</v>
      </c>
      <c r="D119" s="85"/>
      <c r="E119" s="90">
        <v>3.4119999999999999</v>
      </c>
      <c r="F119" s="90">
        <v>3.4489999999999998</v>
      </c>
      <c r="G119" s="90"/>
      <c r="H119" s="90"/>
      <c r="I119" s="90"/>
      <c r="J119" s="90"/>
      <c r="K119" s="90"/>
      <c r="L119" s="90"/>
    </row>
    <row r="120" spans="2:12" s="83" customFormat="1" ht="16.350000000000001" customHeight="1">
      <c r="B120" s="84" t="s">
        <v>135</v>
      </c>
      <c r="C120" s="85" t="s">
        <v>65</v>
      </c>
      <c r="D120" s="85"/>
      <c r="E120" s="90">
        <v>1.111</v>
      </c>
      <c r="F120" s="90">
        <v>1.117</v>
      </c>
      <c r="G120" s="90"/>
      <c r="H120" s="90"/>
      <c r="I120" s="90"/>
      <c r="J120" s="90"/>
      <c r="K120" s="90"/>
      <c r="L120" s="90"/>
    </row>
    <row r="121" spans="2:12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/>
      <c r="H121" s="90"/>
      <c r="I121" s="90"/>
      <c r="J121" s="90"/>
      <c r="K121" s="90"/>
      <c r="L121" s="90"/>
    </row>
    <row r="122" spans="2:12" s="83" customFormat="1" ht="27" customHeight="1">
      <c r="B122" s="84" t="s">
        <v>137</v>
      </c>
      <c r="C122" s="85" t="s">
        <v>65</v>
      </c>
      <c r="D122" s="85"/>
      <c r="E122" s="90">
        <v>4.4039999999999999</v>
      </c>
      <c r="F122" s="90">
        <v>7.5490000000000004</v>
      </c>
      <c r="G122" s="90"/>
      <c r="H122" s="90"/>
      <c r="I122" s="90"/>
      <c r="J122" s="90"/>
      <c r="K122" s="90"/>
      <c r="L122" s="90"/>
    </row>
    <row r="123" spans="2:12" s="83" customFormat="1" ht="26.25" customHeight="1">
      <c r="B123" s="84" t="s">
        <v>138</v>
      </c>
      <c r="C123" s="85" t="s">
        <v>65</v>
      </c>
      <c r="D123" s="85"/>
      <c r="E123" s="90">
        <v>3.1589999999999998</v>
      </c>
      <c r="F123" s="90">
        <v>5.3719999999999999</v>
      </c>
      <c r="G123" s="90"/>
      <c r="H123" s="90"/>
      <c r="I123" s="90"/>
      <c r="J123" s="90"/>
      <c r="K123" s="90"/>
      <c r="L123" s="90"/>
    </row>
    <row r="124" spans="2:12" s="83" customFormat="1" ht="16.350000000000001" customHeight="1">
      <c r="B124" s="84" t="s">
        <v>139</v>
      </c>
      <c r="C124" s="85" t="s">
        <v>65</v>
      </c>
      <c r="D124" s="85"/>
      <c r="E124" s="90">
        <v>1.873</v>
      </c>
      <c r="F124" s="90">
        <v>0.45800000000000002</v>
      </c>
      <c r="G124" s="90"/>
      <c r="H124" s="90"/>
      <c r="I124" s="90"/>
      <c r="J124" s="90"/>
      <c r="K124" s="90"/>
      <c r="L124" s="90"/>
    </row>
    <row r="125" spans="2:12" s="83" customFormat="1" ht="16.350000000000001" customHeight="1">
      <c r="B125" s="84" t="s">
        <v>140</v>
      </c>
      <c r="C125" s="85" t="s">
        <v>65</v>
      </c>
      <c r="D125" s="85"/>
      <c r="E125" s="90">
        <v>17.792999999999999</v>
      </c>
      <c r="F125" s="90">
        <v>106.90900000000001</v>
      </c>
      <c r="G125" s="90"/>
      <c r="H125" s="90"/>
      <c r="I125" s="90"/>
      <c r="J125" s="90"/>
      <c r="K125" s="90"/>
      <c r="L125" s="90"/>
    </row>
    <row r="126" spans="2:12" s="83" customFormat="1" ht="18" customHeight="1">
      <c r="B126" s="84" t="s">
        <v>141</v>
      </c>
      <c r="C126" s="85" t="s">
        <v>65</v>
      </c>
      <c r="D126" s="85"/>
      <c r="E126" s="90">
        <v>99.447999999999993</v>
      </c>
      <c r="F126" s="90">
        <v>189.49700000000001</v>
      </c>
      <c r="G126" s="90"/>
      <c r="H126" s="90"/>
      <c r="I126" s="90"/>
      <c r="J126" s="90"/>
      <c r="K126" s="90"/>
      <c r="L126" s="90"/>
    </row>
    <row r="127" spans="2:12" s="83" customFormat="1" ht="16.350000000000001" customHeight="1">
      <c r="B127" s="84" t="s">
        <v>142</v>
      </c>
      <c r="C127" s="85" t="s">
        <v>65</v>
      </c>
      <c r="D127" s="85"/>
      <c r="E127" s="90">
        <v>224.697</v>
      </c>
      <c r="F127" s="90">
        <v>227.21700000000001</v>
      </c>
      <c r="G127" s="90"/>
      <c r="H127" s="90"/>
      <c r="I127" s="90"/>
      <c r="J127" s="90"/>
      <c r="K127" s="90"/>
      <c r="L127" s="90"/>
    </row>
    <row r="128" spans="2:12" s="83" customFormat="1" ht="16.350000000000001" customHeight="1">
      <c r="B128" s="84" t="s">
        <v>143</v>
      </c>
      <c r="C128" s="85" t="s">
        <v>65</v>
      </c>
      <c r="D128" s="85"/>
      <c r="E128" s="90">
        <v>83.269000000000005</v>
      </c>
      <c r="F128" s="90">
        <v>71.415999999999997</v>
      </c>
      <c r="G128" s="90"/>
      <c r="H128" s="90"/>
      <c r="I128" s="90"/>
      <c r="J128" s="90"/>
      <c r="K128" s="90"/>
      <c r="L128" s="90"/>
    </row>
    <row r="129" spans="2:12" s="83" customFormat="1" ht="15.75" customHeight="1">
      <c r="B129" s="84" t="s">
        <v>144</v>
      </c>
      <c r="C129" s="85" t="s">
        <v>65</v>
      </c>
      <c r="D129" s="85"/>
      <c r="E129" s="90">
        <v>291.88</v>
      </c>
      <c r="F129" s="90">
        <v>323.13799999999998</v>
      </c>
      <c r="G129" s="90"/>
      <c r="H129" s="90"/>
      <c r="I129" s="90"/>
      <c r="J129" s="90"/>
      <c r="K129" s="90"/>
      <c r="L129" s="90"/>
    </row>
    <row r="130" spans="2:12" s="83" customFormat="1" ht="16.350000000000001" customHeight="1">
      <c r="B130" s="84" t="s">
        <v>145</v>
      </c>
      <c r="C130" s="85" t="s">
        <v>65</v>
      </c>
      <c r="D130" s="85"/>
      <c r="E130" s="90">
        <v>1590.598</v>
      </c>
      <c r="F130" s="90">
        <v>1739.433</v>
      </c>
      <c r="G130" s="90"/>
      <c r="H130" s="90"/>
      <c r="I130" s="90"/>
      <c r="J130" s="90"/>
      <c r="K130" s="90"/>
      <c r="L130" s="90"/>
    </row>
    <row r="131" spans="2:12" s="83" customFormat="1" ht="16.350000000000001" customHeight="1">
      <c r="B131" s="84" t="s">
        <v>146</v>
      </c>
      <c r="C131" s="85" t="s">
        <v>65</v>
      </c>
      <c r="D131" s="85"/>
      <c r="E131" s="90">
        <v>1.6379999999999999</v>
      </c>
      <c r="F131" s="90">
        <v>4.2519999999999998</v>
      </c>
      <c r="G131" s="90"/>
      <c r="H131" s="90"/>
      <c r="I131" s="90"/>
      <c r="J131" s="90"/>
      <c r="K131" s="90"/>
      <c r="L131" s="90"/>
    </row>
    <row r="132" spans="2:12">
      <c r="C132" s="28"/>
      <c r="D132" s="28"/>
    </row>
    <row r="133" spans="2:12">
      <c r="C133" s="28"/>
      <c r="D133" s="28"/>
    </row>
    <row r="134" spans="2:12">
      <c r="C134" s="28"/>
      <c r="D134" s="28"/>
    </row>
    <row r="135" spans="2:12" ht="13.15">
      <c r="C135" s="23"/>
      <c r="D135" s="23"/>
    </row>
    <row r="136" spans="2:12">
      <c r="C136" s="28"/>
      <c r="D136" s="28"/>
    </row>
    <row r="137" spans="2:12">
      <c r="C137" s="28"/>
      <c r="D137" s="28"/>
    </row>
    <row r="138" spans="2:12">
      <c r="C138" s="28"/>
      <c r="D138" s="28"/>
    </row>
    <row r="139" spans="2:12">
      <c r="C139" s="28"/>
      <c r="D139" s="28"/>
    </row>
    <row r="140" spans="2:12">
      <c r="C140" s="28"/>
      <c r="D140" s="28"/>
    </row>
    <row r="141" spans="2:12">
      <c r="C141" s="28"/>
      <c r="D141" s="28"/>
    </row>
    <row r="142" spans="2:12">
      <c r="C142" s="32"/>
      <c r="D142" s="32"/>
    </row>
    <row r="143" spans="2:12" ht="13.15">
      <c r="C143" s="23"/>
      <c r="D143" s="23"/>
    </row>
    <row r="144" spans="2:12">
      <c r="C144" s="28"/>
      <c r="D144" s="28"/>
    </row>
    <row r="145" spans="3:4">
      <c r="C145" s="28"/>
      <c r="D145" s="28"/>
    </row>
    <row r="146" spans="3:4">
      <c r="C146" s="28"/>
      <c r="D146" s="28"/>
    </row>
    <row r="147" spans="3:4">
      <c r="C147" s="28"/>
      <c r="D147" s="28"/>
    </row>
    <row r="148" spans="3:4">
      <c r="C148" s="28"/>
      <c r="D148" s="28"/>
    </row>
    <row r="149" spans="3:4">
      <c r="C149" s="28"/>
      <c r="D149" s="28"/>
    </row>
    <row r="150" spans="3:4">
      <c r="C150" s="28"/>
      <c r="D150" s="28"/>
    </row>
    <row r="151" spans="3:4">
      <c r="C151" s="28"/>
      <c r="D151" s="28"/>
    </row>
    <row r="152" spans="3:4">
      <c r="C152" s="28"/>
      <c r="D152" s="28"/>
    </row>
    <row r="153" spans="3:4" ht="13.15">
      <c r="C153" s="30"/>
      <c r="D153" s="30"/>
    </row>
    <row r="154" spans="3:4">
      <c r="C154" s="32"/>
      <c r="D154" s="32"/>
    </row>
    <row r="155" spans="3:4" ht="13.15">
      <c r="C155" s="23"/>
      <c r="D155" s="23"/>
    </row>
    <row r="156" spans="3:4">
      <c r="C156" s="28"/>
      <c r="D156" s="28"/>
    </row>
    <row r="157" spans="3:4">
      <c r="C157" s="28"/>
      <c r="D157" s="28"/>
    </row>
    <row r="158" spans="3:4">
      <c r="C158" s="28"/>
      <c r="D158" s="28"/>
    </row>
    <row r="159" spans="3:4">
      <c r="C159" s="28"/>
      <c r="D159" s="28"/>
    </row>
    <row r="160" spans="3:4">
      <c r="C160" s="28"/>
      <c r="D160" s="28"/>
    </row>
    <row r="161" spans="3:4">
      <c r="C161" s="28"/>
      <c r="D161" s="28"/>
    </row>
    <row r="162" spans="3:4">
      <c r="C162" s="28"/>
      <c r="D162" s="28"/>
    </row>
    <row r="163" spans="3:4">
      <c r="C163" s="28"/>
      <c r="D163" s="28"/>
    </row>
    <row r="164" spans="3:4">
      <c r="C164" s="28"/>
      <c r="D164" s="28"/>
    </row>
    <row r="165" spans="3:4" ht="13.15">
      <c r="C165" s="30"/>
      <c r="D165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C131"/>
  <sheetViews>
    <sheetView topLeftCell="A88" zoomScale="85" zoomScaleNormal="85" workbookViewId="0">
      <selection activeCell="N109" sqref="N109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5" customWidth="1"/>
    <col min="5" max="5" width="10.59765625" style="7" customWidth="1"/>
    <col min="6" max="16384" width="8" style="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1" t="s">
        <v>158</v>
      </c>
      <c r="N1" s="68" t="s">
        <v>159</v>
      </c>
    </row>
    <row r="2" spans="1:29" ht="16.350000000000001" customHeight="1">
      <c r="B2" s="44" t="s">
        <v>111</v>
      </c>
      <c r="C2" s="9" t="s">
        <v>110</v>
      </c>
      <c r="D2" s="37"/>
      <c r="E2" s="64">
        <f>SUM(' Физический_ежемесячный'!E7:G7)</f>
        <v>638271419.54110003</v>
      </c>
      <c r="F2" s="64">
        <f>SUM(' Физический_ежемесячный'!H7:J7)</f>
        <v>634232731.49000001</v>
      </c>
      <c r="G2" s="64">
        <f>SUM(' Физический_ежемесячный'!K7:M7)</f>
        <v>721437550.64120007</v>
      </c>
      <c r="H2" s="64">
        <f>SUM(' Физический_ежемесячный'!N7:P7)</f>
        <v>765811591.09440005</v>
      </c>
      <c r="I2" s="64">
        <f>SUM(' Физический_ежемесячный'!Q7:S7)</f>
        <v>755092795.20000017</v>
      </c>
      <c r="J2" s="64">
        <f>SUM(' Физический_ежемесячный'!T7:V7)</f>
        <v>735367286.69999993</v>
      </c>
      <c r="K2" s="64">
        <f>SUM(' Физический_ежемесячный'!W7:Y7)</f>
        <v>856574969.04850006</v>
      </c>
      <c r="L2" s="64">
        <f>SUM(' Физический_ежемесячный'!Z7:AB7)</f>
        <v>909922475.43429995</v>
      </c>
      <c r="M2" s="64">
        <f>SUM(' Физический_ежемесячный'!AC7:AE7)</f>
        <v>921858950.86910009</v>
      </c>
      <c r="N2" s="64">
        <f>SUM(' Коммерческий_ежемесячно'!AF2:AH2)</f>
        <v>967019509.2974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16.350000000000001" customHeight="1">
      <c r="B3" s="40" t="s">
        <v>112</v>
      </c>
      <c r="C3" s="9" t="s">
        <v>110</v>
      </c>
      <c r="D3" s="39"/>
      <c r="E3" s="64">
        <f>SUM(' Физический_ежемесячный'!E8:G8)</f>
        <v>3802436.4</v>
      </c>
      <c r="F3" s="64">
        <f>SUM(' Физический_ежемесячный'!H8:J8)</f>
        <v>1936043.8199999994</v>
      </c>
      <c r="G3" s="64">
        <f>SUM(' Физический_ежемесячный'!K8:M8)</f>
        <v>1634180.5500000007</v>
      </c>
      <c r="H3" s="64">
        <f>SUM(' Физический_ежемесячный'!N8:P8)</f>
        <v>2525008.2699999996</v>
      </c>
      <c r="I3" s="64">
        <f>SUM(' Физический_ежемесячный'!Q8:S8)</f>
        <v>2080536.8135999991</v>
      </c>
      <c r="J3" s="64">
        <f>SUM(' Физический_ежемесячный'!T8:V8)</f>
        <v>1571788.7255899981</v>
      </c>
      <c r="K3" s="64">
        <f>SUM(' Физический_ежемесячный'!W8:Y8)</f>
        <v>2354326.2726999987</v>
      </c>
      <c r="L3" s="64">
        <f>SUM(' Физический_ежемесячный'!Z8:AB8)</f>
        <v>2893105.3546000002</v>
      </c>
      <c r="M3" s="64">
        <f>SUM(' Физический_ежемесячный'!AC8:AE8)</f>
        <v>3189674.6980999997</v>
      </c>
      <c r="N3" s="64">
        <f>SUM(' Коммерческий_ежемесячно'!AF3:AH3)</f>
        <v>1746232.6092000003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350000000000001" customHeight="1">
      <c r="B4" s="40" t="s">
        <v>113</v>
      </c>
      <c r="C4" s="9" t="s">
        <v>110</v>
      </c>
      <c r="D4" s="39"/>
      <c r="E4" s="64">
        <f>SUM(' Физический_ежемесячный'!E9:G9)</f>
        <v>7047594.2524000006</v>
      </c>
      <c r="F4" s="64">
        <f>SUM(' Физический_ежемесячный'!H9:J9)</f>
        <v>3506249.43</v>
      </c>
      <c r="G4" s="64">
        <f>SUM(' Физический_ежемесячный'!K9:M9)</f>
        <v>4313574.05</v>
      </c>
      <c r="H4" s="64">
        <f>SUM(' Физический_ежемесячный'!N9:P9)</f>
        <v>5141339.7700000005</v>
      </c>
      <c r="I4" s="64">
        <f>SUM(' Физический_ежемесячный'!Q9:S9)</f>
        <v>5493007.1799999997</v>
      </c>
      <c r="J4" s="64">
        <f>SUM(' Физический_ежемесячный'!T9:V9)</f>
        <v>3273391.5</v>
      </c>
      <c r="K4" s="64">
        <f>SUM(' Физический_ежемесячный'!W9:Y9)</f>
        <v>3482647.36</v>
      </c>
      <c r="L4" s="64">
        <f>SUM(' Физический_ежемесячный'!Z9:AB9)</f>
        <v>5930186.9100000001</v>
      </c>
      <c r="M4" s="64">
        <f>SUM(' Физический_ежемесячный'!AC9:AE9)</f>
        <v>6669871.267</v>
      </c>
      <c r="N4" s="64">
        <f>SUM(' Коммерческий_ежемесячно'!AF4:AH4)</f>
        <v>3632579.2690000003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ht="16.350000000000001" customHeight="1">
      <c r="B5" s="40" t="s">
        <v>114</v>
      </c>
      <c r="C5" s="9" t="s">
        <v>110</v>
      </c>
      <c r="D5" s="39"/>
      <c r="E5" s="64">
        <f>SUM(' Физический_ежемесячный'!E10:G10)</f>
        <v>214522481.19</v>
      </c>
      <c r="F5" s="64">
        <f>SUM(' Физический_ежемесячный'!H10:J10)</f>
        <v>109425279.33000001</v>
      </c>
      <c r="G5" s="64">
        <f>SUM(' Физический_ежемесячный'!K10:M10)</f>
        <v>115335855.93200001</v>
      </c>
      <c r="H5" s="64">
        <f>SUM(' Физический_ежемесячный'!N10:P10)</f>
        <v>167395302.91999999</v>
      </c>
      <c r="I5" s="64">
        <f>SUM(' Физический_ежемесячный'!Q10:S10)</f>
        <v>205401414.50999999</v>
      </c>
      <c r="J5" s="64">
        <f>SUM(' Физический_ежемесячный'!T10:V10)</f>
        <v>119836924.69</v>
      </c>
      <c r="K5" s="64">
        <f>SUM(' Физический_ежемесячный'!W10:Y10)</f>
        <v>126716852.05130002</v>
      </c>
      <c r="L5" s="64">
        <f>SUM(' Физический_ежемесячный'!Z10:AB10)</f>
        <v>183788580.99070001</v>
      </c>
      <c r="M5" s="64">
        <f>SUM(' Физический_ежемесячный'!AC10:AE10)</f>
        <v>224168623.40809998</v>
      </c>
      <c r="N5" s="64">
        <f>SUM(' Коммерческий_ежемесячно'!AF5:AH5)</f>
        <v>128737485.45370001</v>
      </c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ht="16.350000000000001" customHeight="1">
      <c r="B6" s="40" t="s">
        <v>85</v>
      </c>
      <c r="C6" s="9" t="s">
        <v>110</v>
      </c>
      <c r="D6" s="39"/>
      <c r="E6" s="64">
        <f>SUM(' Физический_ежемесячный'!E11:G11)</f>
        <v>78808405.400000006</v>
      </c>
      <c r="F6" s="64">
        <f>SUM(' Физический_ежемесячный'!H11:J11)</f>
        <v>888071474.43000007</v>
      </c>
      <c r="G6" s="64">
        <f>SUM(' Физический_ежемесячный'!K11:M11)</f>
        <v>1023178192.89</v>
      </c>
      <c r="H6" s="64">
        <f>SUM(' Физический_ежемесячный'!N11:P11)</f>
        <v>91240084.480000004</v>
      </c>
      <c r="I6" s="64">
        <f>SUM(' Физический_ежемесячный'!Q11:S11)</f>
        <v>60466805.299999997</v>
      </c>
      <c r="J6" s="64">
        <f>SUM(' Физический_ежемесячный'!T11:V11)</f>
        <v>628370909.94000006</v>
      </c>
      <c r="K6" s="64">
        <f>SUM(' Физический_ежемесячный'!W11:Y11)</f>
        <v>884521098.17999995</v>
      </c>
      <c r="L6" s="64">
        <f>SUM(' Физический_ежемесячный'!Z11:AB11)</f>
        <v>79572516.519999996</v>
      </c>
      <c r="M6" s="64">
        <f>SUM(' Физический_ежемесячный'!AC11:AE11)</f>
        <v>64382778.030000001</v>
      </c>
      <c r="N6" s="64">
        <f>SUM(' Коммерческий_ежемесячно'!AF6:AH6)</f>
        <v>854839339.40999997</v>
      </c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ht="16.350000000000001" customHeight="1">
      <c r="B7" s="40" t="s">
        <v>115</v>
      </c>
      <c r="C7" s="9" t="s">
        <v>110</v>
      </c>
      <c r="D7" s="39"/>
      <c r="E7" s="64">
        <f>SUM(' Физический_ежемесячный'!E12:G12)</f>
        <v>186174641.78</v>
      </c>
      <c r="F7" s="64">
        <f>SUM(' Физический_ежемесячный'!H12:J12)</f>
        <v>152891299.93000001</v>
      </c>
      <c r="G7" s="64">
        <f>SUM(' Физический_ежемесячный'!K12:M12)</f>
        <v>154284831.50999999</v>
      </c>
      <c r="H7" s="64">
        <f>SUM(' Физический_ежемесячный'!N12:P12)</f>
        <v>155272125.41</v>
      </c>
      <c r="I7" s="64">
        <f>SUM(' Физический_ежемесячный'!Q12:S12)</f>
        <v>157132675.76999998</v>
      </c>
      <c r="J7" s="64">
        <f>SUM(' Физический_ежемесячный'!T12:V12)</f>
        <v>147333687.37</v>
      </c>
      <c r="K7" s="64">
        <f>SUM(' Физический_ежемесячный'!W12:Y12)</f>
        <v>174971691.38300002</v>
      </c>
      <c r="L7" s="64">
        <f>SUM(' Физический_ежемесячный'!Z12:AB12)</f>
        <v>186478113.22600001</v>
      </c>
      <c r="M7" s="64">
        <f>SUM(' Физический_ежемесячный'!AC12:AE12)</f>
        <v>168446725.815</v>
      </c>
      <c r="N7" s="64">
        <f>SUM(' Коммерческий_ежемесячно'!AF7:AH7)</f>
        <v>112864354.442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116</v>
      </c>
      <c r="C8" s="9" t="s">
        <v>110</v>
      </c>
      <c r="D8" s="39"/>
      <c r="E8" s="64">
        <f>SUM(' Физический_ежемесячный'!E13:G13)</f>
        <v>43633227</v>
      </c>
      <c r="F8" s="64">
        <f>SUM(' Физический_ежемесячный'!H13:J13)</f>
        <v>72449242</v>
      </c>
      <c r="G8" s="64">
        <f>SUM(' Физический_ежемесячный'!K13:M13)</f>
        <v>83373610</v>
      </c>
      <c r="H8" s="64">
        <f>SUM(' Физический_ежемесячный'!N13:P13)</f>
        <v>30102062</v>
      </c>
      <c r="I8" s="64">
        <f>SUM(' Физический_ежемесячный'!Q13:S13)</f>
        <v>29064058.59</v>
      </c>
      <c r="J8" s="64">
        <f>SUM(' Физический_ежемесячный'!T13:V13)</f>
        <v>184687672</v>
      </c>
      <c r="K8" s="64">
        <f>SUM(' Физический_ежемесячный'!W13:Y13)</f>
        <v>215424774</v>
      </c>
      <c r="L8" s="64">
        <f>SUM(' Физический_ежемесячный'!Z13:AB13)</f>
        <v>40108792.629999995</v>
      </c>
      <c r="M8" s="64">
        <f>SUM(' Физический_ежемесячный'!AC13:AE13)</f>
        <v>43379853.934419677</v>
      </c>
      <c r="N8" s="64">
        <f>SUM(' Коммерческий_ежемесячно'!AF8:AH8)</f>
        <v>32327006.440000001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117</v>
      </c>
      <c r="C9" s="9" t="s">
        <v>110</v>
      </c>
      <c r="D9" s="39"/>
      <c r="E9" s="64">
        <f>SUM(' Физический_ежемесячный'!E14:G14)</f>
        <v>413840253</v>
      </c>
      <c r="F9" s="64">
        <f>SUM(' Физический_ежемесячный'!H14:J14)</f>
        <v>413908150</v>
      </c>
      <c r="G9" s="64">
        <f>SUM(' Физический_ежемесячный'!K14:M14)</f>
        <v>442844971</v>
      </c>
      <c r="H9" s="64">
        <f>SUM(' Физический_ежемесячный'!N14:P14)</f>
        <v>461315199.63</v>
      </c>
      <c r="I9" s="64">
        <f>SUM(' Физический_ежемесячный'!Q14:S14)</f>
        <v>481572302.39999998</v>
      </c>
      <c r="J9" s="64">
        <f>SUM(' Физический_ежемесячный'!T14:V14)</f>
        <v>489283752.71000004</v>
      </c>
      <c r="K9" s="64">
        <f>SUM(' Физический_ежемесячный'!W14:Y14)</f>
        <v>516871761.89999998</v>
      </c>
      <c r="L9" s="64">
        <f>SUM(' Физический_ежемесячный'!Z14:AB14)</f>
        <v>550031941.45000005</v>
      </c>
      <c r="M9" s="64">
        <f>SUM(' Физический_ежемесячный'!AC14:AE14)</f>
        <v>595123722</v>
      </c>
      <c r="N9" s="64">
        <f>SUM(' Коммерческий_ежемесячно'!AF9:AH9)</f>
        <v>588225209.35000002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118</v>
      </c>
      <c r="C10" s="9" t="s">
        <v>110</v>
      </c>
      <c r="D10" s="39"/>
      <c r="E10" s="64">
        <f>SUM(' Физический_ежемесячный'!E15:G15)</f>
        <v>5415408</v>
      </c>
      <c r="F10" s="64">
        <f>SUM(' Физический_ежемесячный'!H15:J15)</f>
        <v>1630861</v>
      </c>
      <c r="G10" s="64">
        <f>SUM(' Физический_ежемесячный'!K15:M15)</f>
        <v>408752</v>
      </c>
      <c r="H10" s="64">
        <f>SUM(' Физический_ежемесячный'!N15:P15)</f>
        <v>2342171</v>
      </c>
      <c r="I10" s="64">
        <f>SUM(' Физический_ежемесячный'!Q15:S15)</f>
        <v>5936215</v>
      </c>
      <c r="J10" s="64">
        <f>SUM(' Физический_ежемесячный'!T15:V15)</f>
        <v>3954167.1</v>
      </c>
      <c r="K10" s="64">
        <f>SUM(' Физический_ежемесячный'!W15:Y15)</f>
        <v>4863839</v>
      </c>
      <c r="L10" s="64">
        <f>SUM(' Физический_ежемесячный'!Z15:AB15)</f>
        <v>6595282</v>
      </c>
      <c r="M10" s="64">
        <f>SUM(' Физический_ежемесячный'!AC15:AE15)</f>
        <v>7774397</v>
      </c>
      <c r="N10" s="64">
        <f>SUM(' Коммерческий_ежемесячно'!AF10:AH10)</f>
        <v>5162399</v>
      </c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101</v>
      </c>
      <c r="C11" s="9" t="s">
        <v>110</v>
      </c>
      <c r="D11" s="39"/>
      <c r="E11" s="64">
        <f>SUM(' Физический_ежемесячный'!E16:G16)</f>
        <v>0</v>
      </c>
      <c r="F11" s="64">
        <f>SUM(' Физический_ежемесячный'!H16:J16)</f>
        <v>35949170</v>
      </c>
      <c r="G11" s="64">
        <f>SUM(' Физический_ежемесячный'!K16:M16)</f>
        <v>43902462</v>
      </c>
      <c r="H11" s="64">
        <f>SUM(' Физический_ежемесячный'!N16:P16)</f>
        <v>37281664</v>
      </c>
      <c r="I11" s="64">
        <f>SUM(' Физический_ежемесячный'!Q16:S16)</f>
        <v>14676764</v>
      </c>
      <c r="J11" s="64">
        <f>SUM(' Физический_ежемесячный'!T16:V16)</f>
        <v>32443482</v>
      </c>
      <c r="K11" s="64">
        <f>SUM(' Физический_ежемесячный'!W16:Y16)</f>
        <v>45472660</v>
      </c>
      <c r="L11" s="64">
        <f>SUM(' Физический_ежемесячный'!Z16:AB16)</f>
        <v>14703568</v>
      </c>
      <c r="M11" s="64">
        <f>SUM(' Физический_ежемесячный'!AC16:AE16)</f>
        <v>8758319.3499999996</v>
      </c>
      <c r="N11" s="64">
        <f>SUM(' Коммерческий_ежемесячно'!AF11:AH11)</f>
        <v>21293519.530000001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86</v>
      </c>
      <c r="C12" s="9" t="s">
        <v>110</v>
      </c>
      <c r="D12" s="39"/>
      <c r="E12" s="64">
        <f>SUM(' Физический_ежемесячный'!E17:G17)</f>
        <v>2016636757.1800001</v>
      </c>
      <c r="F12" s="64">
        <f>SUM(' Физический_ежемесячный'!H17:J17)</f>
        <v>1106026223.4300001</v>
      </c>
      <c r="G12" s="64">
        <f>SUM(' Физический_ежемесячный'!K17:M17)</f>
        <v>1068649944.98</v>
      </c>
      <c r="H12" s="64">
        <f>SUM(' Физический_ежемесячный'!N17:P17)</f>
        <v>1639738688.46</v>
      </c>
      <c r="I12" s="64">
        <f>SUM(' Физический_ежемесячный'!Q17:S17)</f>
        <v>1994721355.8300002</v>
      </c>
      <c r="J12" s="64">
        <f>SUM(' Физический_ежемесячный'!T17:V17)</f>
        <v>1151705456.8670001</v>
      </c>
      <c r="K12" s="64">
        <f>SUM(' Физический_ежемесячный'!W17:Y17)</f>
        <v>1208111631.9569998</v>
      </c>
      <c r="L12" s="64">
        <f>SUM(' Физический_ежемесячный'!Z17:AB17)</f>
        <v>1890141908.2819996</v>
      </c>
      <c r="M12" s="64">
        <f>SUM(' Физический_ежемесячный'!AC17:AE17)</f>
        <v>2231566778.1199999</v>
      </c>
      <c r="N12" s="64">
        <f>SUM(' Коммерческий_ежемесячно'!AF12:AH12)</f>
        <v>1385386596.0710001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108</v>
      </c>
      <c r="C14" s="9" t="s">
        <v>110</v>
      </c>
      <c r="D14" s="39"/>
      <c r="E14" s="66">
        <f>SUBTOTAL(9,E2:E12)</f>
        <v>3608152623.7435002</v>
      </c>
      <c r="F14" s="66">
        <f t="shared" ref="F14:N14" si="0">SUBTOTAL(9,F2:F12)</f>
        <v>3420026724.8600006</v>
      </c>
      <c r="G14" s="66">
        <f t="shared" si="0"/>
        <v>3659363925.5532002</v>
      </c>
      <c r="H14" s="66">
        <f t="shared" si="0"/>
        <v>3358165237.0344</v>
      </c>
      <c r="I14" s="66">
        <f t="shared" si="0"/>
        <v>3711637930.5936003</v>
      </c>
      <c r="J14" s="66">
        <f t="shared" si="0"/>
        <v>3497828519.6025901</v>
      </c>
      <c r="K14" s="66">
        <f t="shared" si="0"/>
        <v>4039366251.1524997</v>
      </c>
      <c r="L14" s="66">
        <f t="shared" si="0"/>
        <v>3870166470.7975998</v>
      </c>
      <c r="M14" s="66">
        <f t="shared" si="0"/>
        <v>4275319694.4917192</v>
      </c>
      <c r="N14" s="66">
        <f t="shared" si="0"/>
        <v>4101234230.8723001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s="27" customFormat="1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1" t="s">
        <v>16</v>
      </c>
      <c r="F16" s="2" t="s">
        <v>17</v>
      </c>
      <c r="G16" s="1" t="s">
        <v>18</v>
      </c>
      <c r="H16" s="2" t="s">
        <v>19</v>
      </c>
      <c r="I16" s="1" t="s">
        <v>73</v>
      </c>
      <c r="J16" s="2" t="s">
        <v>74</v>
      </c>
      <c r="K16" s="1" t="s">
        <v>71</v>
      </c>
      <c r="L16" s="1" t="s">
        <v>72</v>
      </c>
      <c r="M16" s="1" t="s">
        <v>158</v>
      </c>
      <c r="N16" s="68" t="s">
        <v>159</v>
      </c>
    </row>
    <row r="17" spans="1:29" ht="16.5" customHeight="1">
      <c r="B17" s="44" t="s">
        <v>111</v>
      </c>
      <c r="C17" s="9" t="s">
        <v>120</v>
      </c>
      <c r="D17" s="37"/>
      <c r="E17" s="71">
        <f t="shared" ref="E17:M27" si="1">E39/E2</f>
        <v>0.69170441690940687</v>
      </c>
      <c r="F17" s="71">
        <f t="shared" si="1"/>
        <v>0.68661673635148546</v>
      </c>
      <c r="G17" s="71">
        <f t="shared" si="1"/>
        <v>0.68467907994994126</v>
      </c>
      <c r="H17" s="71">
        <f t="shared" si="1"/>
        <v>0.68489797654760309</v>
      </c>
      <c r="I17" s="71">
        <f t="shared" si="1"/>
        <v>0.78426588222459037</v>
      </c>
      <c r="J17" s="71">
        <f t="shared" si="1"/>
        <v>0.77686532151130017</v>
      </c>
      <c r="K17" s="71">
        <f t="shared" si="1"/>
        <v>0.78859915966340166</v>
      </c>
      <c r="L17" s="71">
        <f t="shared" si="1"/>
        <v>0.81283182806515708</v>
      </c>
      <c r="M17" s="71">
        <f t="shared" si="1"/>
        <v>0.783400966192352</v>
      </c>
      <c r="N17" s="71">
        <f t="shared" ref="N17" si="2">N39/N2</f>
        <v>0.90545200142978133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ht="16.350000000000001" customHeight="1">
      <c r="B18" s="40" t="s">
        <v>112</v>
      </c>
      <c r="C18" s="9" t="s">
        <v>120</v>
      </c>
      <c r="D18" s="39"/>
      <c r="E18" s="71">
        <f t="shared" si="1"/>
        <v>0.69749923522718227</v>
      </c>
      <c r="F18" s="71">
        <f t="shared" si="1"/>
        <v>0.29629391549618878</v>
      </c>
      <c r="G18" s="71">
        <f t="shared" si="1"/>
        <v>0.12240023356048453</v>
      </c>
      <c r="H18" s="71">
        <f t="shared" si="1"/>
        <v>0.6474707985807906</v>
      </c>
      <c r="I18" s="71">
        <f t="shared" si="1"/>
        <v>0.80200093413045537</v>
      </c>
      <c r="J18" s="71">
        <f t="shared" si="1"/>
        <v>0.39681701735446584</v>
      </c>
      <c r="K18" s="71">
        <f t="shared" si="1"/>
        <v>0.14192676940091073</v>
      </c>
      <c r="L18" s="71">
        <f t="shared" si="1"/>
        <v>0.80262890893617389</v>
      </c>
      <c r="M18" s="71">
        <f t="shared" si="1"/>
        <v>0.80168001101936581</v>
      </c>
      <c r="N18" s="71">
        <f t="shared" ref="N18" si="3">N40/N3</f>
        <v>0.2695374822651086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ht="16.350000000000001" customHeight="1">
      <c r="B19" s="40" t="s">
        <v>113</v>
      </c>
      <c r="C19" s="9" t="s">
        <v>120</v>
      </c>
      <c r="D19" s="39"/>
      <c r="E19" s="71">
        <f t="shared" si="1"/>
        <v>0.49822450978137134</v>
      </c>
      <c r="F19" s="71">
        <f t="shared" si="1"/>
        <v>0.52299640640226785</v>
      </c>
      <c r="G19" s="71">
        <f t="shared" si="1"/>
        <v>0.56998284037224312</v>
      </c>
      <c r="H19" s="71">
        <f t="shared" si="1"/>
        <v>0.5314616758697509</v>
      </c>
      <c r="I19" s="71">
        <f t="shared" si="1"/>
        <v>0.59241824217932315</v>
      </c>
      <c r="J19" s="71">
        <f t="shared" si="1"/>
        <v>0.57552135425780859</v>
      </c>
      <c r="K19" s="71">
        <f t="shared" si="1"/>
        <v>0.59139793419854036</v>
      </c>
      <c r="L19" s="71">
        <f t="shared" si="1"/>
        <v>0.59665529503790971</v>
      </c>
      <c r="M19" s="71">
        <f t="shared" si="1"/>
        <v>0.59421420449613005</v>
      </c>
      <c r="N19" s="71">
        <f t="shared" ref="N19" si="4">N41/N4</f>
        <v>0.69476367016259588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ht="16.350000000000001" customHeight="1">
      <c r="B20" s="40" t="s">
        <v>114</v>
      </c>
      <c r="C20" s="9" t="s">
        <v>120</v>
      </c>
      <c r="D20" s="39"/>
      <c r="E20" s="71">
        <f t="shared" si="1"/>
        <v>0.30663204779693887</v>
      </c>
      <c r="F20" s="71">
        <f t="shared" si="1"/>
        <v>0.30809726270390364</v>
      </c>
      <c r="G20" s="71">
        <f t="shared" si="1"/>
        <v>0.30292900346891399</v>
      </c>
      <c r="H20" s="71">
        <f t="shared" si="1"/>
        <v>0.30569133485525762</v>
      </c>
      <c r="I20" s="71">
        <f t="shared" si="1"/>
        <v>0.35312651113762772</v>
      </c>
      <c r="J20" s="71">
        <f t="shared" si="1"/>
        <v>0.34962406605796559</v>
      </c>
      <c r="K20" s="71">
        <f t="shared" si="1"/>
        <v>0.35194362157778575</v>
      </c>
      <c r="L20" s="71">
        <f t="shared" si="1"/>
        <v>0.35459988056168618</v>
      </c>
      <c r="M20" s="71">
        <f t="shared" si="1"/>
        <v>0.35064679506871949</v>
      </c>
      <c r="N20" s="71">
        <f t="shared" ref="N20" si="5">N42/N5</f>
        <v>0.40525522601925695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ht="16.350000000000001" customHeight="1">
      <c r="B21" s="40" t="s">
        <v>85</v>
      </c>
      <c r="C21" s="9" t="s">
        <v>120</v>
      </c>
      <c r="D21" s="39"/>
      <c r="E21" s="71">
        <f t="shared" si="1"/>
        <v>0.24339380125942761</v>
      </c>
      <c r="F21" s="71">
        <f t="shared" si="1"/>
        <v>9.22405217717156E-2</v>
      </c>
      <c r="G21" s="71">
        <f t="shared" si="1"/>
        <v>9.2605343164019707E-2</v>
      </c>
      <c r="H21" s="71">
        <f t="shared" si="1"/>
        <v>0.21083492602000709</v>
      </c>
      <c r="I21" s="71">
        <f t="shared" si="1"/>
        <v>0.24842717255313637</v>
      </c>
      <c r="J21" s="71">
        <f t="shared" si="1"/>
        <v>0.10699288549484183</v>
      </c>
      <c r="K21" s="71">
        <f t="shared" si="1"/>
        <v>0.10731577508927115</v>
      </c>
      <c r="L21" s="71">
        <f t="shared" si="1"/>
        <v>0.2687783157610007</v>
      </c>
      <c r="M21" s="71">
        <f t="shared" si="1"/>
        <v>0.2878383907789106</v>
      </c>
      <c r="N21" s="71">
        <f t="shared" ref="N21" si="6">N43/N6</f>
        <v>0.12404407987780604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16.350000000000001" customHeight="1">
      <c r="B22" s="40" t="s">
        <v>115</v>
      </c>
      <c r="C22" s="9" t="s">
        <v>120</v>
      </c>
      <c r="D22" s="39"/>
      <c r="E22" s="71">
        <f t="shared" si="1"/>
        <v>0.12888923847725531</v>
      </c>
      <c r="F22" s="71">
        <f t="shared" si="1"/>
        <v>0.12060844782366681</v>
      </c>
      <c r="G22" s="71">
        <f t="shared" si="1"/>
        <v>0.12199795482565</v>
      </c>
      <c r="H22" s="71">
        <f t="shared" si="1"/>
        <v>0.12988642887605592</v>
      </c>
      <c r="I22" s="71">
        <f t="shared" si="1"/>
        <v>0.14613831146687667</v>
      </c>
      <c r="J22" s="71">
        <f t="shared" si="1"/>
        <v>0.14733332623642731</v>
      </c>
      <c r="K22" s="71">
        <f t="shared" si="1"/>
        <v>0.14703826306446535</v>
      </c>
      <c r="L22" s="71">
        <f t="shared" si="1"/>
        <v>0.14825651322948569</v>
      </c>
      <c r="M22" s="71">
        <f t="shared" si="1"/>
        <v>0.14734007266427321</v>
      </c>
      <c r="N22" s="71">
        <f t="shared" ref="N22" si="7">N44/N7</f>
        <v>0.16909487733578898</v>
      </c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ht="16.350000000000001" customHeight="1">
      <c r="B23" s="40" t="s">
        <v>116</v>
      </c>
      <c r="C23" s="9" t="s">
        <v>120</v>
      </c>
      <c r="D23" s="39"/>
      <c r="E23" s="71">
        <f t="shared" si="1"/>
        <v>9.2209667485744301E-2</v>
      </c>
      <c r="F23" s="71">
        <f t="shared" si="1"/>
        <v>8.9625164994824924E-2</v>
      </c>
      <c r="G23" s="71">
        <f t="shared" si="1"/>
        <v>8.6533257370047925E-2</v>
      </c>
      <c r="H23" s="71">
        <f t="shared" si="1"/>
        <v>9.0724305929607077E-2</v>
      </c>
      <c r="I23" s="71">
        <f t="shared" si="1"/>
        <v>0.10697040237421296</v>
      </c>
      <c r="J23" s="71">
        <f t="shared" si="1"/>
        <v>0.10547699477797304</v>
      </c>
      <c r="K23" s="71">
        <f t="shared" si="1"/>
        <v>0.10787912132380838</v>
      </c>
      <c r="L23" s="71">
        <f t="shared" si="1"/>
        <v>0.11136377050799297</v>
      </c>
      <c r="M23" s="71">
        <f t="shared" si="1"/>
        <v>0.10922547756817304</v>
      </c>
      <c r="N23" s="71">
        <f t="shared" ref="N23" si="8">N45/N8</f>
        <v>0.13329341690507607</v>
      </c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6.350000000000001" customHeight="1">
      <c r="B24" s="40" t="s">
        <v>117</v>
      </c>
      <c r="C24" s="9" t="s">
        <v>120</v>
      </c>
      <c r="D24" s="39"/>
      <c r="E24" s="71">
        <f t="shared" si="1"/>
        <v>0.18011033711599825</v>
      </c>
      <c r="F24" s="71">
        <f t="shared" si="1"/>
        <v>0.1560130164143905</v>
      </c>
      <c r="G24" s="71">
        <f t="shared" si="1"/>
        <v>0.15594548596556154</v>
      </c>
      <c r="H24" s="71">
        <f t="shared" si="1"/>
        <v>0.1563223951385935</v>
      </c>
      <c r="I24" s="71">
        <f t="shared" si="1"/>
        <v>0.18121874029107368</v>
      </c>
      <c r="J24" s="71">
        <f t="shared" si="1"/>
        <v>0.18084728159253982</v>
      </c>
      <c r="K24" s="71">
        <f t="shared" si="1"/>
        <v>0.18077149381605634</v>
      </c>
      <c r="L24" s="71">
        <f t="shared" si="1"/>
        <v>0.18115203186202158</v>
      </c>
      <c r="M24" s="71">
        <f t="shared" si="1"/>
        <v>0.18126904165584581</v>
      </c>
      <c r="N24" s="71">
        <f t="shared" ref="N24" si="9">N46/N9</f>
        <v>0.20797681215462513</v>
      </c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ht="16.350000000000001" customHeight="1">
      <c r="B25" s="40" t="s">
        <v>118</v>
      </c>
      <c r="C25" s="9" t="s">
        <v>120</v>
      </c>
      <c r="D25" s="39"/>
      <c r="E25" s="71">
        <f t="shared" si="1"/>
        <v>0.17007456132575791</v>
      </c>
      <c r="F25" s="71">
        <f t="shared" si="1"/>
        <v>0.17460688458427787</v>
      </c>
      <c r="G25" s="71">
        <f t="shared" si="1"/>
        <v>0.69747499999999996</v>
      </c>
      <c r="H25" s="71">
        <f t="shared" si="1"/>
        <v>0.29042312452848235</v>
      </c>
      <c r="I25" s="71">
        <f t="shared" si="1"/>
        <v>0.17010005028456684</v>
      </c>
      <c r="J25" s="71">
        <f t="shared" si="1"/>
        <v>0.1701000471123236</v>
      </c>
      <c r="K25" s="71">
        <f t="shared" si="1"/>
        <v>0.17010005470987014</v>
      </c>
      <c r="L25" s="71">
        <f t="shared" si="1"/>
        <v>0.17010003059763024</v>
      </c>
      <c r="M25" s="71">
        <f t="shared" si="1"/>
        <v>0.17270002162225573</v>
      </c>
      <c r="N25" s="71">
        <f t="shared" ref="N25" si="10">N47/N10</f>
        <v>0.16197983728107804</v>
      </c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16.350000000000001" customHeight="1">
      <c r="B26" s="40" t="s">
        <v>101</v>
      </c>
      <c r="C26" s="9" t="s">
        <v>120</v>
      </c>
      <c r="D26" s="39"/>
      <c r="E26" s="71" t="e">
        <f t="shared" si="1"/>
        <v>#DIV/0!</v>
      </c>
      <c r="F26" s="71">
        <f t="shared" si="1"/>
        <v>0.46050968133895726</v>
      </c>
      <c r="G26" s="71">
        <f t="shared" si="1"/>
        <v>0.45999999999999996</v>
      </c>
      <c r="H26" s="71">
        <f t="shared" si="1"/>
        <v>0.45999999999999991</v>
      </c>
      <c r="I26" s="71">
        <f t="shared" si="1"/>
        <v>0.52895999999999999</v>
      </c>
      <c r="J26" s="71">
        <f t="shared" si="1"/>
        <v>0.52898270321292895</v>
      </c>
      <c r="K26" s="71">
        <f t="shared" si="1"/>
        <v>0.52897265934123938</v>
      </c>
      <c r="L26" s="71">
        <f t="shared" si="1"/>
        <v>0.48645146035030407</v>
      </c>
      <c r="M26" s="71">
        <f t="shared" si="1"/>
        <v>0.30532769034689289</v>
      </c>
      <c r="N26" s="71">
        <f t="shared" ref="N26" si="11">N48/N11</f>
        <v>0.35360000771089062</v>
      </c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ht="16.350000000000001" customHeight="1">
      <c r="B27" s="40" t="s">
        <v>86</v>
      </c>
      <c r="C27" s="9" t="s">
        <v>120</v>
      </c>
      <c r="D27" s="39"/>
      <c r="E27" s="71">
        <f t="shared" si="1"/>
        <v>0.26608193592675117</v>
      </c>
      <c r="F27" s="71">
        <f t="shared" si="1"/>
        <v>0.26581065034694307</v>
      </c>
      <c r="G27" s="71">
        <f t="shared" si="1"/>
        <v>0.26557282124382786</v>
      </c>
      <c r="H27" s="71">
        <f t="shared" si="1"/>
        <v>0.26605727451690991</v>
      </c>
      <c r="I27" s="71">
        <f t="shared" si="1"/>
        <v>0.30975860476507527</v>
      </c>
      <c r="J27" s="71">
        <f t="shared" si="1"/>
        <v>0.30808192462911016</v>
      </c>
      <c r="K27" s="71">
        <f t="shared" si="1"/>
        <v>0.30835967779429718</v>
      </c>
      <c r="L27" s="71">
        <f t="shared" si="1"/>
        <v>0.31034291372165396</v>
      </c>
      <c r="M27" s="71">
        <f t="shared" si="1"/>
        <v>0.31106225447511465</v>
      </c>
      <c r="N27" s="71">
        <f t="shared" ref="N27" si="12">N49/N12</f>
        <v>0.3552216306448675</v>
      </c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ht="16.350000000000001" customHeight="1">
      <c r="B28" s="40" t="s">
        <v>2</v>
      </c>
      <c r="C28" s="9" t="s">
        <v>120</v>
      </c>
      <c r="D28" s="3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16.350000000000001" customHeight="1">
      <c r="B29" s="41" t="s">
        <v>108</v>
      </c>
      <c r="C29" s="9" t="s">
        <v>120</v>
      </c>
      <c r="D29" s="39"/>
      <c r="E29" s="73">
        <f t="shared" ref="E29:M29" si="13">E51/E14</f>
        <v>0.32501048716560366</v>
      </c>
      <c r="F29" s="73">
        <f t="shared" si="13"/>
        <v>0.27890237438145249</v>
      </c>
      <c r="G29" s="73">
        <f t="shared" si="13"/>
        <v>0.28029011487294192</v>
      </c>
      <c r="H29" s="73">
        <f t="shared" si="13"/>
        <v>0.34196792957972194</v>
      </c>
      <c r="I29" s="73">
        <f t="shared" si="13"/>
        <v>0.38383804560305212</v>
      </c>
      <c r="J29" s="73">
        <f t="shared" si="13"/>
        <v>0.33885178301501789</v>
      </c>
      <c r="K29" s="73">
        <f t="shared" si="13"/>
        <v>0.33599959498435183</v>
      </c>
      <c r="L29" s="73">
        <f t="shared" si="13"/>
        <v>0.40273521723157979</v>
      </c>
      <c r="M29" s="73">
        <f t="shared" si="13"/>
        <v>0.38861400330272228</v>
      </c>
      <c r="N29" s="73">
        <f t="shared" ref="N29" si="14">N51/N14</f>
        <v>0.41036655231572183</v>
      </c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s="27" customFormat="1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1" t="s">
        <v>16</v>
      </c>
      <c r="F31" s="2" t="s">
        <v>17</v>
      </c>
      <c r="G31" s="1" t="s">
        <v>18</v>
      </c>
      <c r="H31" s="2" t="s">
        <v>19</v>
      </c>
      <c r="I31" s="1" t="s">
        <v>73</v>
      </c>
      <c r="J31" s="2" t="s">
        <v>74</v>
      </c>
      <c r="K31" s="1" t="s">
        <v>71</v>
      </c>
      <c r="L31" s="1" t="s">
        <v>72</v>
      </c>
      <c r="M31" s="1" t="s">
        <v>158</v>
      </c>
      <c r="N31" s="68" t="s">
        <v>159</v>
      </c>
    </row>
    <row r="32" spans="1:29" ht="16.350000000000001" customHeight="1">
      <c r="B32" s="44" t="s">
        <v>150</v>
      </c>
      <c r="C32" s="9" t="s">
        <v>152</v>
      </c>
      <c r="D32" s="37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16.350000000000001" customHeight="1">
      <c r="B33" s="40" t="s">
        <v>143</v>
      </c>
      <c r="C33" s="9" t="s">
        <v>152</v>
      </c>
      <c r="D33" s="3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16.350000000000001" customHeight="1">
      <c r="B34" s="40" t="s">
        <v>85</v>
      </c>
      <c r="C34" s="9" t="s">
        <v>152</v>
      </c>
      <c r="D34" s="3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ht="16.350000000000001" customHeight="1">
      <c r="B35" s="40" t="s">
        <v>151</v>
      </c>
      <c r="C35" s="9" t="s">
        <v>152</v>
      </c>
      <c r="D35" s="3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ht="16.350000000000001" customHeight="1">
      <c r="B36" s="41" t="s">
        <v>108</v>
      </c>
      <c r="C36" s="9" t="s">
        <v>110</v>
      </c>
      <c r="D36" s="39"/>
      <c r="E36" s="66">
        <f>SUBTOTAL(9,E32:E35)</f>
        <v>0</v>
      </c>
      <c r="F36" s="66">
        <f t="shared" ref="F36:M36" si="15">SUBTOTAL(9,F32:F35)</f>
        <v>0</v>
      </c>
      <c r="G36" s="66">
        <f t="shared" si="15"/>
        <v>0</v>
      </c>
      <c r="H36" s="66">
        <f t="shared" si="15"/>
        <v>0</v>
      </c>
      <c r="I36" s="66">
        <f t="shared" si="15"/>
        <v>0</v>
      </c>
      <c r="J36" s="66">
        <f t="shared" si="15"/>
        <v>0</v>
      </c>
      <c r="K36" s="66">
        <f t="shared" si="15"/>
        <v>0</v>
      </c>
      <c r="L36" s="66">
        <f t="shared" si="15"/>
        <v>0</v>
      </c>
      <c r="M36" s="66">
        <f t="shared" si="15"/>
        <v>0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s="27" customFormat="1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1" t="s">
        <v>16</v>
      </c>
      <c r="F38" s="2" t="s">
        <v>17</v>
      </c>
      <c r="G38" s="1" t="s">
        <v>18</v>
      </c>
      <c r="H38" s="2" t="s">
        <v>19</v>
      </c>
      <c r="I38" s="1" t="s">
        <v>73</v>
      </c>
      <c r="J38" s="2" t="s">
        <v>74</v>
      </c>
      <c r="K38" s="1" t="s">
        <v>71</v>
      </c>
      <c r="L38" s="1" t="s">
        <v>72</v>
      </c>
      <c r="M38" s="1" t="s">
        <v>158</v>
      </c>
      <c r="N38" s="68" t="s">
        <v>159</v>
      </c>
    </row>
    <row r="39" spans="1:29" ht="16.350000000000001" customHeight="1">
      <c r="B39" s="44" t="s">
        <v>111</v>
      </c>
      <c r="C39" s="9" t="s">
        <v>110</v>
      </c>
      <c r="D39" s="37"/>
      <c r="E39" s="64">
        <f>SUM(' Коммерческий_ежемесячно'!E42:G42)</f>
        <v>441495160.08361602</v>
      </c>
      <c r="F39" s="64">
        <f>SUM(' Коммерческий_ежемесячно'!H42:J42)</f>
        <v>435474808.18295181</v>
      </c>
      <c r="G39" s="64">
        <f>SUM(' Коммерческий_ежемесячно'!K42:M42)</f>
        <v>493953198.41435605</v>
      </c>
      <c r="H39" s="64">
        <f>SUM(' Коммерческий_ежемесячно'!N42:P42)</f>
        <v>524502809.15725505</v>
      </c>
      <c r="I39" s="64">
        <f>SUM(' Коммерческий_ежемесячно'!Q42:S42)</f>
        <v>592193517.18896008</v>
      </c>
      <c r="J39" s="64">
        <f>SUM(' Коммерческий_ежемесячно'!T42:V42)</f>
        <v>571281343.61108792</v>
      </c>
      <c r="K39" s="64">
        <f>SUM(' Коммерческий_ежемесячно'!W42:Y42)</f>
        <v>675494300.7803514</v>
      </c>
      <c r="L39" s="64">
        <f>SUM(' Коммерческий_ежемесячно'!Z42:AB42)</f>
        <v>739613949.10483503</v>
      </c>
      <c r="M39" s="64">
        <f>SUM(' Коммерческий_ежемесячно'!AC42:AE42)</f>
        <v>722185192.80392098</v>
      </c>
      <c r="N39" s="64">
        <f>SUM(' Коммерческий_ежемесячно'!AF42:AH42)</f>
        <v>875589750.11497581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6.350000000000001" customHeight="1">
      <c r="B40" s="40" t="s">
        <v>112</v>
      </c>
      <c r="C40" s="9" t="s">
        <v>110</v>
      </c>
      <c r="D40" s="39"/>
      <c r="E40" s="64">
        <f>SUM(' Коммерческий_ежемесячно'!E43:G43)</f>
        <v>2652196.4810000001</v>
      </c>
      <c r="F40" s="64">
        <f>SUM(' Коммерческий_ежемесячно'!H43:J43)</f>
        <v>573638.00399999833</v>
      </c>
      <c r="G40" s="64">
        <f>SUM(' Коммерческий_ежемесячно'!K43:M43)</f>
        <v>200024.08100000117</v>
      </c>
      <c r="H40" s="64">
        <f>SUM(' Коммерческий_ежемесячно'!N43:P43)</f>
        <v>1634869.1210000003</v>
      </c>
      <c r="I40" s="64">
        <f>SUM(' Коммерческий_ежемесячно'!Q43:S43)</f>
        <v>1668592.4680000003</v>
      </c>
      <c r="J40" s="64">
        <f>SUM(' Коммерческий_ежемесячно'!T43:V43)</f>
        <v>623712.51399999997</v>
      </c>
      <c r="K40" s="64">
        <f>SUM(' Коммерческий_ежемесячно'!W43:Y43)</f>
        <v>334141.92199999839</v>
      </c>
      <c r="L40" s="64">
        <f>SUM(' Коммерческий_ежемесячно'!Z43:AB43)</f>
        <v>2322089.9942000005</v>
      </c>
      <c r="M40" s="64">
        <f>SUM(' Коммерческий_ежемесячно'!AC43:AE43)</f>
        <v>2557098.4471209999</v>
      </c>
      <c r="N40" s="64">
        <f>SUM(' Коммерческий_ежемесячно'!AF43:AH43)</f>
        <v>470675.14093299943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ht="16.350000000000001" customHeight="1">
      <c r="B41" s="40" t="s">
        <v>113</v>
      </c>
      <c r="C41" s="9" t="s">
        <v>110</v>
      </c>
      <c r="D41" s="39"/>
      <c r="E41" s="64">
        <f>SUM(' Коммерческий_ежемесячно'!E44:G44)</f>
        <v>3511284.1915400005</v>
      </c>
      <c r="F41" s="64">
        <f>SUM(' Коммерческий_ежемесячно'!H44:J44)</f>
        <v>1833755.8518400001</v>
      </c>
      <c r="G41" s="64">
        <f>SUM(' Коммерческий_ежемесячно'!K44:M44)</f>
        <v>2458663.1891749999</v>
      </c>
      <c r="H41" s="64">
        <f>SUM(' Коммерческий_ежемесячно'!N44:P44)</f>
        <v>2732425.0503799999</v>
      </c>
      <c r="I41" s="64">
        <f>SUM(' Коммерческий_ежемесячно'!Q44:S44)</f>
        <v>3254157.657854001</v>
      </c>
      <c r="J41" s="64">
        <f>SUM(' Коммерческий_ежемесячно'!T44:V44)</f>
        <v>1883906.7090959996</v>
      </c>
      <c r="K41" s="64">
        <f>SUM(' Коммерческий_ежемесячно'!W44:Y44)</f>
        <v>2059630.4542460002</v>
      </c>
      <c r="L41" s="64">
        <f>SUM(' Коммерческий_ежемесячно'!Z44:AB44)</f>
        <v>3538277.4204160003</v>
      </c>
      <c r="M41" s="64">
        <f>SUM(' Коммерческий_ежемесячно'!AC44:AE44)</f>
        <v>3963332.2490119999</v>
      </c>
      <c r="N41" s="64">
        <f>SUM(' Коммерческий_ежемесячно'!AF44:AH44)</f>
        <v>2523784.1050869999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ht="16.350000000000001" customHeight="1">
      <c r="B42" s="40" t="s">
        <v>114</v>
      </c>
      <c r="C42" s="9" t="s">
        <v>110</v>
      </c>
      <c r="D42" s="39"/>
      <c r="E42" s="64">
        <f>SUM(' Коммерческий_ежемесячно'!E45:G45)</f>
        <v>65779467.705770001</v>
      </c>
      <c r="F42" s="64">
        <f>SUM(' Коммерческий_ежемесячно'!H45:J45)</f>
        <v>33713629.032183051</v>
      </c>
      <c r="G42" s="64">
        <f>SUM(' Коммерческий_ежемесячно'!K45:M45)</f>
        <v>34938575.901714996</v>
      </c>
      <c r="H42" s="64">
        <f>SUM(' Коммерческий_ежемесячно'!N45:P45)</f>
        <v>51171293.598114997</v>
      </c>
      <c r="I42" s="64">
        <f>SUM(' Коммерческий_ежемесячно'!Q45:S45)</f>
        <v>72532684.88865</v>
      </c>
      <c r="J42" s="64">
        <f>SUM(' Коммерческий_ежемесячно'!T45:V45)</f>
        <v>41897872.874000005</v>
      </c>
      <c r="K42" s="64">
        <f>SUM(' Коммерческий_ежемесячно'!W45:Y45)</f>
        <v>44597187.825870998</v>
      </c>
      <c r="L42" s="64">
        <f>SUM(' Коммерческий_ежемесячно'!Z45:AB45)</f>
        <v>65171408.867904007</v>
      </c>
      <c r="M42" s="64">
        <f>SUM(' Коммерческий_ежемесячно'!AC45:AE45)</f>
        <v>78604009.353016987</v>
      </c>
      <c r="N42" s="64">
        <f>SUM(' Коммерческий_ежемесячно'!AF45:AH45)</f>
        <v>52171538.764689997</v>
      </c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ht="16.350000000000001" customHeight="1">
      <c r="B43" s="40" t="s">
        <v>85</v>
      </c>
      <c r="C43" s="9" t="s">
        <v>110</v>
      </c>
      <c r="D43" s="39"/>
      <c r="E43" s="64">
        <f>SUM(' Коммерческий_ежемесячно'!E46:G46)</f>
        <v>19181477.361500002</v>
      </c>
      <c r="F43" s="64">
        <f>SUM(' Коммерческий_ежемесячно'!H46:J46)</f>
        <v>81916176.171999991</v>
      </c>
      <c r="G43" s="64">
        <f>SUM(' Коммерческий_ежемесячно'!K46:M46)</f>
        <v>94751767.670519993</v>
      </c>
      <c r="H43" s="64">
        <f>SUM(' Коммерческий_ежемесячно'!N46:P46)</f>
        <v>19236596.461399999</v>
      </c>
      <c r="I43" s="64">
        <f>SUM(' Коммерческий_ежемесячно'!Q46:S46)</f>
        <v>15021597.473999999</v>
      </c>
      <c r="J43" s="64">
        <f>SUM(' Коммерческий_ежемесячно'!T46:V46)</f>
        <v>67231216.815499991</v>
      </c>
      <c r="K43" s="64">
        <f>SUM(' Коммерческий_ежемесячно'!W46:Y46)</f>
        <v>94923067.233999997</v>
      </c>
      <c r="L43" s="64">
        <f>SUM(' Коммерческий_ежемесячно'!Z46:AB46)</f>
        <v>21387366.971110001</v>
      </c>
      <c r="M43" s="64">
        <f>SUM(' Коммерческий_ежемесячно'!AC46:AE46)</f>
        <v>18531835.222031001</v>
      </c>
      <c r="N43" s="64">
        <f>SUM(' Коммерческий_ежемесячно'!AF46:AH46)</f>
        <v>106037759.30046499</v>
      </c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6.350000000000001" customHeight="1">
      <c r="B44" s="40" t="s">
        <v>115</v>
      </c>
      <c r="C44" s="9" t="s">
        <v>110</v>
      </c>
      <c r="D44" s="39"/>
      <c r="E44" s="64">
        <f>SUM(' Коммерческий_ежемесячно'!E47:G47)</f>
        <v>23995907.8028</v>
      </c>
      <c r="F44" s="64">
        <f>SUM(' Коммерческий_ежемесячно'!H47:J47)</f>
        <v>18439982.370299999</v>
      </c>
      <c r="G44" s="64">
        <f>SUM(' Коммерческий_ежемесячно'!K47:M47)</f>
        <v>18822433.90484</v>
      </c>
      <c r="H44" s="64">
        <f>SUM(' Коммерческий_ежемесячно'!N47:P47)</f>
        <v>20167741.873500001</v>
      </c>
      <c r="I44" s="64">
        <f>SUM(' Коммерческий_ежемесячно'!Q47:S47)</f>
        <v>22963103.9133</v>
      </c>
      <c r="J44" s="64">
        <f>SUM(' Коммерческий_ежемесячно'!T47:V47)</f>
        <v>21707162.2269</v>
      </c>
      <c r="K44" s="64">
        <f>SUM(' Коммерческий_ежемесячно'!W47:Y47)</f>
        <v>25727533.586408</v>
      </c>
      <c r="L44" s="64">
        <f>SUM(' Коммерческий_ежемесячно'!Z47:AB47)</f>
        <v>27646594.8605</v>
      </c>
      <c r="M44" s="64">
        <f>SUM(' Коммерческий_ежемесячно'!AC47:AE47)</f>
        <v>24818952.821641006</v>
      </c>
      <c r="N44" s="64">
        <f>SUM(' Коммерческий_ежемесячно'!AF47:AH47)</f>
        <v>19084784.169953</v>
      </c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ht="16.350000000000001" customHeight="1">
      <c r="B45" s="40" t="s">
        <v>116</v>
      </c>
      <c r="C45" s="9" t="s">
        <v>110</v>
      </c>
      <c r="D45" s="39"/>
      <c r="E45" s="64">
        <f>SUM(' Коммерческий_ежемесячно'!E48:G48)</f>
        <v>4023405.3530000001</v>
      </c>
      <c r="F45" s="64">
        <f>SUM(' Коммерческий_ежемесячно'!H48:J48)</f>
        <v>6493275.2679999992</v>
      </c>
      <c r="G45" s="64">
        <f>SUM(' Коммерческий_ежемесячно'!K48:M48)</f>
        <v>7214590.0520000011</v>
      </c>
      <c r="H45" s="64">
        <f>SUM(' Коммерческий_ежемесячно'!N48:P48)</f>
        <v>2730988.682</v>
      </c>
      <c r="I45" s="64">
        <f>SUM(' Коммерческий_ежемесячно'!Q48:S48)</f>
        <v>3108994.0420000004</v>
      </c>
      <c r="J45" s="64">
        <f>SUM(' Коммерческий_ежемесячно'!T48:V48)</f>
        <v>19480300.615099996</v>
      </c>
      <c r="K45" s="64">
        <f>SUM(' Коммерческий_ежемесячно'!W48:Y48)</f>
        <v>23239835.330499999</v>
      </c>
      <c r="L45" s="64">
        <f>SUM(' Коммерческий_ежемесячно'!Z48:AB48)</f>
        <v>4466666.377799999</v>
      </c>
      <c r="M45" s="64">
        <f>SUM(' Коммерческий_ежемесячно'!AC48:AE48)</f>
        <v>4738185.2628245791</v>
      </c>
      <c r="N45" s="64">
        <f>SUM(' Коммерческий_ежемесячно'!AF48:AH48)</f>
        <v>4308977.1466999995</v>
      </c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ht="16.350000000000001" customHeight="1">
      <c r="B46" s="40" t="s">
        <v>117</v>
      </c>
      <c r="C46" s="9" t="s">
        <v>110</v>
      </c>
      <c r="D46" s="39"/>
      <c r="E46" s="64">
        <f>SUM(' Коммерческий_ежемесячно'!E49:G49)</f>
        <v>74536907.480000004</v>
      </c>
      <c r="F46" s="64">
        <f>SUM(' Коммерческий_ежемесячно'!H49:J49)</f>
        <v>64575059</v>
      </c>
      <c r="G46" s="64">
        <f>SUM(' Коммерческий_ежемесячно'!K49:M49)</f>
        <v>69059674.210000008</v>
      </c>
      <c r="H46" s="64">
        <f>SUM(' Коммерческий_ежемесячно'!N49:P49)</f>
        <v>72113896.920000002</v>
      </c>
      <c r="I46" s="64">
        <f>SUM(' Коммерческий_ежемесячно'!Q49:S49)</f>
        <v>87269926</v>
      </c>
      <c r="J46" s="64">
        <f>SUM(' Коммерческий_ежемесячно'!T49:V49)</f>
        <v>88485636.604999989</v>
      </c>
      <c r="K46" s="64">
        <f>SUM(' Коммерческий_ежемесячно'!W49:Y49)</f>
        <v>93435680.50999999</v>
      </c>
      <c r="L46" s="64">
        <f>SUM(' Коммерческий_ежемесячно'!Z49:AB49)</f>
        <v>99639403.782680005</v>
      </c>
      <c r="M46" s="64">
        <f>SUM(' Коммерческий_ежемесячно'!AC49:AE49)</f>
        <v>107877506.7536</v>
      </c>
      <c r="N46" s="64">
        <f>SUM(' Коммерческий_ежемесячно'!AF49:AH49)</f>
        <v>122337203.8696</v>
      </c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ht="16.350000000000001" customHeight="1">
      <c r="B47" s="40" t="s">
        <v>118</v>
      </c>
      <c r="C47" s="9" t="s">
        <v>110</v>
      </c>
      <c r="D47" s="39"/>
      <c r="E47" s="64">
        <f>SUM(' Коммерческий_ежемесячно'!E50:G50)</f>
        <v>921023.14</v>
      </c>
      <c r="F47" s="64">
        <f>SUM(' Коммерческий_ежемесячно'!H50:J50)</f>
        <v>284759.55839999998</v>
      </c>
      <c r="G47" s="64">
        <f>SUM(' Коммерческий_ежемесячно'!K50:M50)</f>
        <v>285094.30119999999</v>
      </c>
      <c r="H47" s="64">
        <f>SUM(' Коммерческий_ежемесячно'!N50:P50)</f>
        <v>680220.62</v>
      </c>
      <c r="I47" s="64">
        <f>SUM(' Коммерческий_ежемесячно'!Q50:S50)</f>
        <v>1009750.47</v>
      </c>
      <c r="J47" s="64">
        <f>SUM(' Коммерческий_ежемесячно'!T50:V50)</f>
        <v>672604.01</v>
      </c>
      <c r="K47" s="64">
        <f>SUM(' Коммерческий_ежемесячно'!W50:Y50)</f>
        <v>827339.28</v>
      </c>
      <c r="L47" s="64">
        <f>SUM(' Коммерческий_ежемесячно'!Z50:AB50)</f>
        <v>1121857.67</v>
      </c>
      <c r="M47" s="64">
        <f>SUM(' Коммерческий_ежемесячно'!AC50:AE50)</f>
        <v>1342638.53</v>
      </c>
      <c r="N47" s="64">
        <f>SUM(' Коммерческий_ежемесячно'!AF50:AH50)</f>
        <v>836204.55</v>
      </c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ht="16.350000000000001" customHeight="1">
      <c r="B48" s="40" t="s">
        <v>101</v>
      </c>
      <c r="C48" s="9" t="s">
        <v>110</v>
      </c>
      <c r="D48" s="39"/>
      <c r="E48" s="64">
        <f>SUM(' Коммерческий_ежемесячно'!E51:G51)</f>
        <v>0</v>
      </c>
      <c r="F48" s="64">
        <f>SUM(' Коммерческий_ежемесячно'!H51:J51)</f>
        <v>16554940.821100002</v>
      </c>
      <c r="G48" s="64">
        <f>SUM(' Коммерческий_ежемесячно'!K51:M51)</f>
        <v>20195132.52</v>
      </c>
      <c r="H48" s="64">
        <f>SUM(' Коммерческий_ежемесячно'!N51:P51)</f>
        <v>17149565.439999998</v>
      </c>
      <c r="I48" s="64">
        <f>SUM(' Коммерческий_ежемесячно'!Q51:S51)</f>
        <v>7763421.0854399996</v>
      </c>
      <c r="J48" s="64">
        <f>SUM(' Коммерческий_ежемесячно'!T51:V51)</f>
        <v>17162040.810000002</v>
      </c>
      <c r="K48" s="64">
        <f>SUM(' Коммерческий_ежемесячно'!W51:Y51)</f>
        <v>24053793.88752</v>
      </c>
      <c r="L48" s="64">
        <f>SUM(' Коммерческий_ежемесячно'!Z51:AB51)</f>
        <v>7152572.1259599999</v>
      </c>
      <c r="M48" s="64">
        <f>SUM(' Коммерческий_ежемесячно'!AC51:AE51)</f>
        <v>2674157.4184560003</v>
      </c>
      <c r="N48" s="64">
        <f>SUM(' Коммерческий_ежемесячно'!AF51:AH51)</f>
        <v>7529388.6699999999</v>
      </c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ht="16.350000000000001" customHeight="1">
      <c r="B49" s="40" t="s">
        <v>86</v>
      </c>
      <c r="C49" s="9" t="s">
        <v>110</v>
      </c>
      <c r="D49" s="39"/>
      <c r="E49" s="64">
        <f>SUM(' Коммерческий_ежемесячно'!E52:G52)</f>
        <v>536590612.41149998</v>
      </c>
      <c r="F49" s="64">
        <f>SUM(' Коммерческий_ежемесячно'!H52:J52)</f>
        <v>293993549.75070167</v>
      </c>
      <c r="G49" s="64">
        <f>SUM(' Коммерческий_ежемесячно'!K52:M52)</f>
        <v>283804380.81040001</v>
      </c>
      <c r="H49" s="64">
        <f>SUM(' Коммерческий_ежемесячно'!N52:P52)</f>
        <v>436264406.37160003</v>
      </c>
      <c r="I49" s="64">
        <f>SUM(' Коммерческий_ежемесячно'!Q52:S52)</f>
        <v>617882104.07700014</v>
      </c>
      <c r="J49" s="64">
        <f>SUM(' Коммерческий_ежемесячно'!T52:V52)</f>
        <v>354819633.75743401</v>
      </c>
      <c r="K49" s="64">
        <f>SUM(' Коммерческий_ежемесячно'!W52:Y52)</f>
        <v>372532913.569803</v>
      </c>
      <c r="L49" s="64">
        <f>SUM(' Коммерческий_ежемесячно'!Z52:AB52)</f>
        <v>586592147.163643</v>
      </c>
      <c r="M49" s="64">
        <f>SUM(' Коммерческий_ежемесячно'!AC52:AE52)</f>
        <v>694156193.01377511</v>
      </c>
      <c r="N49" s="64">
        <f>SUM(' Коммерческий_ежемесячно'!AF52:AH52)</f>
        <v>492119285.72988302</v>
      </c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ht="16.350000000000001" customHeight="1">
      <c r="B50" s="40" t="s">
        <v>2</v>
      </c>
      <c r="C50" s="9" t="s">
        <v>110</v>
      </c>
      <c r="D50" s="39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ht="16.350000000000001" customHeight="1">
      <c r="B51" s="41" t="s">
        <v>108</v>
      </c>
      <c r="C51" s="9" t="s">
        <v>110</v>
      </c>
      <c r="D51" s="39"/>
      <c r="E51" s="66">
        <f>SUBTOTAL(9,E39:E49)</f>
        <v>1172687442.010726</v>
      </c>
      <c r="F51" s="66">
        <f t="shared" ref="F51:N51" si="16">SUBTOTAL(9,F39:F49)</f>
        <v>953853574.01147664</v>
      </c>
      <c r="G51" s="66">
        <f t="shared" si="16"/>
        <v>1025683535.0552062</v>
      </c>
      <c r="H51" s="66">
        <f t="shared" si="16"/>
        <v>1148384813.2952499</v>
      </c>
      <c r="I51" s="66">
        <f t="shared" si="16"/>
        <v>1424667849.2652044</v>
      </c>
      <c r="J51" s="66">
        <f t="shared" si="16"/>
        <v>1185245430.5481181</v>
      </c>
      <c r="K51" s="66">
        <f t="shared" si="16"/>
        <v>1357225424.3806994</v>
      </c>
      <c r="L51" s="66">
        <f t="shared" si="16"/>
        <v>1558652334.3390479</v>
      </c>
      <c r="M51" s="66">
        <f t="shared" si="16"/>
        <v>1661449101.8753986</v>
      </c>
      <c r="N51" s="66">
        <f t="shared" si="16"/>
        <v>1683009351.5622869</v>
      </c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s="27" customFormat="1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1" t="s">
        <v>16</v>
      </c>
      <c r="F53" s="2" t="s">
        <v>17</v>
      </c>
      <c r="G53" s="1" t="s">
        <v>18</v>
      </c>
      <c r="H53" s="2" t="s">
        <v>19</v>
      </c>
      <c r="I53" s="1" t="s">
        <v>73</v>
      </c>
      <c r="J53" s="2" t="s">
        <v>74</v>
      </c>
      <c r="K53" s="1" t="s">
        <v>71</v>
      </c>
      <c r="L53" s="1" t="s">
        <v>72</v>
      </c>
      <c r="M53" s="1" t="s">
        <v>158</v>
      </c>
      <c r="N53" s="68" t="s">
        <v>159</v>
      </c>
    </row>
    <row r="54" spans="1:29" ht="16.350000000000001" customHeight="1">
      <c r="B54" s="44" t="s">
        <v>111</v>
      </c>
      <c r="C54" s="9" t="s">
        <v>110</v>
      </c>
      <c r="D54" s="37"/>
      <c r="E54" s="64">
        <f>SUM(' Коммерческий_ежемесячно'!E57:G57)</f>
        <v>361185955.49000001</v>
      </c>
      <c r="F54" s="64">
        <f>SUM(' Коммерческий_ежемесячно'!H57:J57)</f>
        <v>420852295.09000003</v>
      </c>
      <c r="G54" s="64">
        <f>SUM(' Коммерческий_ежемесячно'!K57:M57)</f>
        <v>474349279.56999993</v>
      </c>
      <c r="H54" s="64">
        <f>SUM(' Коммерческий_ежемесячно'!N57:P57)</f>
        <v>542971600.19199991</v>
      </c>
      <c r="I54" s="64">
        <f>SUM(' Коммерческий_ежемесячно'!Q57:S57)</f>
        <v>579847016.65999997</v>
      </c>
      <c r="J54" s="64">
        <f>SUM(' Коммерческий_ежемесячно'!T57:V57)</f>
        <v>535200863.05999994</v>
      </c>
      <c r="K54" s="64">
        <f>SUM(' Коммерческий_ежемесячно'!W57:Y57)</f>
        <v>683353776.67144704</v>
      </c>
      <c r="L54" s="64">
        <f>SUM(' Коммерческий_ежемесячно'!Z57:AB57)</f>
        <v>670789488.02200007</v>
      </c>
      <c r="M54" s="64">
        <f>SUM(' Коммерческий_ежемесячно'!AC57:AE57)</f>
        <v>663172462.35477293</v>
      </c>
      <c r="N54" s="64">
        <f>SUM(' Коммерческий_ежемесячно'!AF57:AH57)</f>
        <v>810260049.69726014</v>
      </c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ht="16.350000000000001" customHeight="1">
      <c r="B55" s="40" t="s">
        <v>112</v>
      </c>
      <c r="C55" s="9" t="s">
        <v>110</v>
      </c>
      <c r="D55" s="39"/>
      <c r="E55" s="64">
        <f>SUM(' Коммерческий_ежемесячно'!E58:G58)</f>
        <v>877191.23</v>
      </c>
      <c r="F55" s="64">
        <f>SUM(' Коммерческий_ежемесячно'!H58:J58)</f>
        <v>471951.79999999981</v>
      </c>
      <c r="G55" s="64">
        <f>SUM(' Коммерческий_ежемесячно'!K58:M58)</f>
        <v>119830.28000000041</v>
      </c>
      <c r="H55" s="64">
        <f>SUM(' Коммерческий_ежемесячно'!N58:P58)</f>
        <v>990804.17</v>
      </c>
      <c r="I55" s="64">
        <f>SUM(' Коммерческий_ежемесячно'!Q58:S58)</f>
        <v>623569.95999999903</v>
      </c>
      <c r="J55" s="64">
        <f>SUM(' Коммерческий_ежемесячно'!T58:V58)</f>
        <v>460714.43000000139</v>
      </c>
      <c r="K55" s="64">
        <f>SUM(' Коммерческий_ежемесячно'!W58:Y58)</f>
        <v>228844.70000000007</v>
      </c>
      <c r="L55" s="64">
        <f>SUM(' Коммерческий_ежемесячно'!Z58:AB58)</f>
        <v>1872866.5008399999</v>
      </c>
      <c r="M55" s="64">
        <f>SUM(' Коммерческий_ежемесячно'!AC58:AE58)</f>
        <v>725409.56</v>
      </c>
      <c r="N55" s="64">
        <f>SUM(' Коммерческий_ежемесячно'!AF58:AH58)</f>
        <v>433347.38999999734</v>
      </c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ht="16.350000000000001" customHeight="1">
      <c r="B56" s="40" t="s">
        <v>113</v>
      </c>
      <c r="C56" s="9" t="s">
        <v>110</v>
      </c>
      <c r="D56" s="39"/>
      <c r="E56" s="64">
        <f>SUM(' Коммерческий_ежемесячно'!E59:G59)</f>
        <v>2539624.19</v>
      </c>
      <c r="F56" s="64">
        <f>SUM(' Коммерческий_ежемесячно'!H59:J59)</f>
        <v>1534126.1</v>
      </c>
      <c r="G56" s="64">
        <f>SUM(' Коммерческий_ежемесячно'!K59:M59)</f>
        <v>2611790.9</v>
      </c>
      <c r="H56" s="64">
        <f>SUM(' Коммерческий_ежемесячно'!N59:P59)</f>
        <v>2191000.56</v>
      </c>
      <c r="I56" s="64">
        <f>SUM(' Коммерческий_ежемесячно'!Q59:S59)</f>
        <v>2641932.35</v>
      </c>
      <c r="J56" s="64">
        <f>SUM(' Коммерческий_ежемесячно'!T59:V59)</f>
        <v>1767218.5699999998</v>
      </c>
      <c r="K56" s="64">
        <f>SUM(' Коммерческий_ежемесячно'!W59:Y59)</f>
        <v>1326371.5</v>
      </c>
      <c r="L56" s="64">
        <f>SUM(' Коммерческий_ежемесячно'!Z59:AB59)</f>
        <v>46699457.918999992</v>
      </c>
      <c r="M56" s="64">
        <f>SUM(' Коммерческий_ежемесячно'!AC59:AE59)</f>
        <v>3239745.1293580001</v>
      </c>
      <c r="N56" s="64">
        <f>SUM(' Коммерческий_ежемесячно'!AF59:AH59)</f>
        <v>2089668.1790399998</v>
      </c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ht="16.350000000000001" customHeight="1">
      <c r="B57" s="40" t="s">
        <v>114</v>
      </c>
      <c r="C57" s="9" t="s">
        <v>110</v>
      </c>
      <c r="D57" s="39"/>
      <c r="E57" s="64">
        <f>SUM(' Коммерческий_ежемесячно'!E60:G60)</f>
        <v>71917394.189999998</v>
      </c>
      <c r="F57" s="64">
        <f>SUM(' Коммерческий_ежемесячно'!H60:J60)</f>
        <v>32906457.73</v>
      </c>
      <c r="G57" s="64">
        <f>SUM(' Коммерческий_ежемесячно'!K60:M60)</f>
        <v>31798124.310000002</v>
      </c>
      <c r="H57" s="64">
        <f>SUM(' Коммерческий_ежемесячно'!N60:P60)</f>
        <v>53951004.68</v>
      </c>
      <c r="I57" s="64">
        <f>SUM(' Коммерческий_ежемесячно'!Q60:S60)</f>
        <v>34165056.32</v>
      </c>
      <c r="J57" s="64">
        <f>SUM(' Коммерческий_ежемесячно'!T60:V60)</f>
        <v>41682342.109999999</v>
      </c>
      <c r="K57" s="64">
        <f>SUM(' Коммерческий_ежемесячно'!W60:Y60)</f>
        <v>37415661.25</v>
      </c>
      <c r="L57" s="64">
        <f>SUM(' Коммерческий_ежемесячно'!Z60:AB60)</f>
        <v>81565374.529999986</v>
      </c>
      <c r="M57" s="64">
        <f>SUM(' Коммерческий_ежемесячно'!AC60:AE60)</f>
        <v>38745056.087150998</v>
      </c>
      <c r="N57" s="64">
        <f>SUM(' Коммерческий_ежемесячно'!AF60:AH60)</f>
        <v>49349814.225288004</v>
      </c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ht="16.350000000000001" customHeight="1">
      <c r="B58" s="40" t="s">
        <v>85</v>
      </c>
      <c r="C58" s="9" t="s">
        <v>110</v>
      </c>
      <c r="D58" s="39"/>
      <c r="E58" s="64">
        <f>SUM(' Коммерческий_ежемесячно'!E61:G61)</f>
        <v>334237491.47999996</v>
      </c>
      <c r="F58" s="64">
        <f>SUM(' Коммерческий_ежемесячно'!H61:J61)</f>
        <v>35240095.43</v>
      </c>
      <c r="G58" s="64">
        <f>SUM(' Коммерческий_ежемесячно'!K61:M61)</f>
        <v>38482907.900000006</v>
      </c>
      <c r="H58" s="64">
        <f>SUM(' Коммерческий_ежемесячно'!N61:P61)</f>
        <v>19918389.73</v>
      </c>
      <c r="I58" s="64">
        <f>SUM(' Коммерческий_ежемесячно'!Q61:S61)</f>
        <v>10304627.9</v>
      </c>
      <c r="J58" s="64">
        <f>SUM(' Коммерческий_ежемесячно'!T61:V61)</f>
        <v>32817760.850000001</v>
      </c>
      <c r="K58" s="64">
        <f>SUM(' Коммерческий_ежемесячно'!W61:Y61)</f>
        <v>60290928.730000004</v>
      </c>
      <c r="L58" s="64">
        <f>SUM(' Коммерческий_ежемесячно'!Z61:AB61)</f>
        <v>14791326.67</v>
      </c>
      <c r="M58" s="64">
        <f>SUM(' Коммерческий_ежемесячно'!AC61:AE61)</f>
        <v>12164412.41</v>
      </c>
      <c r="N58" s="64">
        <f>SUM(' Коммерческий_ежемесячно'!AF61:AH61)</f>
        <v>37424878.950002</v>
      </c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ht="16.350000000000001" customHeight="1">
      <c r="B59" s="40" t="s">
        <v>115</v>
      </c>
      <c r="C59" s="9" t="s">
        <v>110</v>
      </c>
      <c r="D59" s="39"/>
      <c r="E59" s="64">
        <f>SUM(' Коммерческий_ежемесячно'!E62:G62)</f>
        <v>6846162.3299999991</v>
      </c>
      <c r="F59" s="64">
        <f>SUM(' Коммерческий_ежемесячно'!H62:J62)</f>
        <v>10256585.16</v>
      </c>
      <c r="G59" s="64">
        <f>SUM(' Коммерческий_ежемесячно'!K62:M62)</f>
        <v>7152755.6899999995</v>
      </c>
      <c r="H59" s="64">
        <f>SUM(' Коммерческий_ежемесячно'!N62:P62)</f>
        <v>9363683.0600000005</v>
      </c>
      <c r="I59" s="64">
        <f>SUM(' Коммерческий_ежемесячно'!Q62:S62)</f>
        <v>7493085.9000000004</v>
      </c>
      <c r="J59" s="64">
        <f>SUM(' Коммерческий_ежемесячно'!T62:V62)</f>
        <v>11822474.690000001</v>
      </c>
      <c r="K59" s="64">
        <f>SUM(' Коммерческий_ежемесячно'!W62:Y62)</f>
        <v>22858790.329999998</v>
      </c>
      <c r="L59" s="64">
        <f>SUM(' Коммерческий_ежемесячно'!Z62:AB62)</f>
        <v>13979169.605999999</v>
      </c>
      <c r="M59" s="64">
        <f>SUM(' Коммерческий_ежемесячно'!AC62:AE62)</f>
        <v>11545162.36507</v>
      </c>
      <c r="N59" s="64">
        <f>SUM(' Коммерческий_ежемесячно'!AF62:AH62)</f>
        <v>11185668.467793001</v>
      </c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ht="16.350000000000001" customHeight="1">
      <c r="B60" s="40" t="s">
        <v>116</v>
      </c>
      <c r="C60" s="9" t="s">
        <v>110</v>
      </c>
      <c r="D60" s="39"/>
      <c r="E60" s="64">
        <f>SUM(' Коммерческий_ежемесячно'!E63:G63)</f>
        <v>139418614.25999999</v>
      </c>
      <c r="F60" s="64">
        <f>SUM(' Коммерческий_ежемесячно'!H63:J63)</f>
        <v>1697295.98</v>
      </c>
      <c r="G60" s="64">
        <f>SUM(' Коммерческий_ежемесячно'!K63:M63)</f>
        <v>531198.97</v>
      </c>
      <c r="H60" s="64">
        <f>SUM(' Коммерческий_ежемесячно'!N63:P63)</f>
        <v>643451.35</v>
      </c>
      <c r="I60" s="64">
        <f>SUM(' Коммерческий_ежемесячно'!Q63:S63)</f>
        <v>586344.47</v>
      </c>
      <c r="J60" s="64">
        <f>SUM(' Коммерческий_ежемесячно'!T63:V63)</f>
        <v>3807824.7399999998</v>
      </c>
      <c r="K60" s="64">
        <f>SUM(' Коммерческий_ежемесячно'!W63:Y63)</f>
        <v>3419098.1200000006</v>
      </c>
      <c r="L60" s="64">
        <f>SUM(' Коммерческий_ежемесячно'!Z63:AB63)</f>
        <v>3479892.1999999997</v>
      </c>
      <c r="M60" s="64">
        <f>SUM(' Коммерческий_ежемесячно'!AC63:AE63)</f>
        <v>2423050.29</v>
      </c>
      <c r="N60" s="64">
        <f>SUM(' Коммерческий_ежемесячно'!AF63:AH63)</f>
        <v>2374665.27</v>
      </c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ht="16.350000000000001" customHeight="1">
      <c r="B61" s="40" t="s">
        <v>117</v>
      </c>
      <c r="C61" s="9" t="s">
        <v>110</v>
      </c>
      <c r="D61" s="39"/>
      <c r="E61" s="64">
        <f>SUM(' Коммерческий_ежемесячно'!E64:G64)</f>
        <v>0</v>
      </c>
      <c r="F61" s="64">
        <f>SUM(' Коммерческий_ежемесячно'!H64:J64)</f>
        <v>0</v>
      </c>
      <c r="G61" s="64">
        <f>SUM(' Коммерческий_ежемесячно'!K64:M64)</f>
        <v>47000000</v>
      </c>
      <c r="H61" s="64">
        <f>SUM(' Коммерческий_ежемесячно'!N64:P64)</f>
        <v>18000000</v>
      </c>
      <c r="I61" s="64">
        <f>SUM(' Коммерческий_ежемесячно'!Q64:S64)</f>
        <v>22000000</v>
      </c>
      <c r="J61" s="64">
        <f>SUM(' Коммерческий_ежемесячно'!T64:V64)</f>
        <v>13000000</v>
      </c>
      <c r="K61" s="64">
        <f>SUM(' Коммерческий_ежемесячно'!W64:Y64)</f>
        <v>99000000</v>
      </c>
      <c r="L61" s="64">
        <f>SUM(' Коммерческий_ежемесячно'!Z64:AB64)</f>
        <v>14500000</v>
      </c>
      <c r="M61" s="64">
        <f>SUM(' Коммерческий_ежемесячно'!AC64:AE64)</f>
        <v>57313000</v>
      </c>
      <c r="N61" s="64">
        <f>SUM(' Коммерческий_ежемесячно'!AF64:AH64)</f>
        <v>27000000</v>
      </c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ht="16.350000000000001" customHeight="1">
      <c r="B62" s="40" t="s">
        <v>118</v>
      </c>
      <c r="C62" s="9" t="s">
        <v>110</v>
      </c>
      <c r="D62" s="39"/>
      <c r="E62" s="64">
        <f>SUM(' Коммерческий_ежемесячно'!E65:G65)</f>
        <v>0</v>
      </c>
      <c r="F62" s="64">
        <f>SUM(' Коммерческий_ежемесячно'!H65:J65)</f>
        <v>500000</v>
      </c>
      <c r="G62" s="64">
        <f>SUM(' Коммерческий_ежемесячно'!K65:M65)</f>
        <v>400000</v>
      </c>
      <c r="H62" s="64">
        <f>SUM(' Коммерческий_ежемесячно'!N65:P65)</f>
        <v>692085.37</v>
      </c>
      <c r="I62" s="64">
        <f>SUM(' Коммерческий_ежемесячно'!Q65:S65)</f>
        <v>588462.44999999995</v>
      </c>
      <c r="J62" s="64">
        <f>SUM(' Коммерческий_ежемесячно'!T65:V65)</f>
        <v>199459.6</v>
      </c>
      <c r="K62" s="64">
        <f>SUM(' Коммерческий_ежемесячно'!W65:Y65)</f>
        <v>230000</v>
      </c>
      <c r="L62" s="64">
        <f>SUM(' Коммерческий_ежемесячно'!Z65:AB65)</f>
        <v>69223.899999999994</v>
      </c>
      <c r="M62" s="64">
        <f>SUM(' Коммерческий_ежемесячно'!AC65:AE65)</f>
        <v>600000</v>
      </c>
      <c r="N62" s="64">
        <f>SUM(' Коммерческий_ежемесячно'!AF65:AH65)</f>
        <v>900000</v>
      </c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ht="16.350000000000001" customHeight="1">
      <c r="B63" s="40" t="s">
        <v>101</v>
      </c>
      <c r="C63" s="9" t="s">
        <v>110</v>
      </c>
      <c r="D63" s="39"/>
      <c r="E63" s="64">
        <f>SUM(' Коммерческий_ежемесячно'!E66:G66)</f>
        <v>0</v>
      </c>
      <c r="F63" s="64">
        <f>SUM(' Коммерческий_ежемесячно'!H66:J66)</f>
        <v>9316293.1199999992</v>
      </c>
      <c r="G63" s="64">
        <f>SUM(' Коммерческий_ежемесячно'!K66:M66)</f>
        <v>13036347.059999999</v>
      </c>
      <c r="H63" s="64">
        <f>SUM(' Коммерческий_ежемесячно'!N66:P66)</f>
        <v>0</v>
      </c>
      <c r="I63" s="64">
        <f>SUM(' Коммерческий_ежемесячно'!Q66:S66)</f>
        <v>17100000</v>
      </c>
      <c r="J63" s="64">
        <f>SUM(' Коммерческий_ежемесячно'!T66:V66)</f>
        <v>13900000</v>
      </c>
      <c r="K63" s="64">
        <f>SUM(' Коммерческий_ежемесячно'!W66:Y66)</f>
        <v>4500000</v>
      </c>
      <c r="L63" s="64">
        <f>SUM(' Коммерческий_ежемесячно'!Z66:AB66)</f>
        <v>11200000</v>
      </c>
      <c r="M63" s="64">
        <f>SUM(' Коммерческий_ежемесячно'!AC66:AE66)</f>
        <v>8152300</v>
      </c>
      <c r="N63" s="64">
        <f>SUM(' Коммерческий_ежемесячно'!AF66:AH66)</f>
        <v>39636241</v>
      </c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ht="16.350000000000001" customHeight="1">
      <c r="B64" s="40" t="s">
        <v>86</v>
      </c>
      <c r="C64" s="9" t="s">
        <v>110</v>
      </c>
      <c r="D64" s="39"/>
      <c r="E64" s="64">
        <f>SUM(' Коммерческий_ежемесячно'!E67:G67)</f>
        <v>515626800.41000003</v>
      </c>
      <c r="F64" s="64">
        <f>SUM(' Коммерческий_ежемесячно'!H67:J67)</f>
        <v>309716193.69</v>
      </c>
      <c r="G64" s="64">
        <f>SUM(' Коммерческий_ежемесячно'!K67:M67)</f>
        <v>275767728.15000004</v>
      </c>
      <c r="H64" s="64">
        <f>SUM(' Коммерческий_ежемесячно'!N67:P67)</f>
        <v>348046001.87</v>
      </c>
      <c r="I64" s="64">
        <f>SUM(' Коммерческий_ежемесячно'!Q67:S67)</f>
        <v>540761645.9920001</v>
      </c>
      <c r="J64" s="64">
        <f>SUM(' Коммерческий_ежемесячно'!T67:V67)</f>
        <v>396032391.90742499</v>
      </c>
      <c r="K64" s="64">
        <f>SUM(' Коммерческий_ежемесячно'!W67:Y67)</f>
        <v>399164590.72599995</v>
      </c>
      <c r="L64" s="64">
        <f>SUM(' Коммерческий_ежемесячно'!Z67:AB67)</f>
        <v>446307902.14599997</v>
      </c>
      <c r="M64" s="64">
        <f>SUM(' Коммерческий_ежемесячно'!AC67:AE67)</f>
        <v>681417661.52301097</v>
      </c>
      <c r="N64" s="64">
        <f>SUM(' Коммерческий_ежемесячно'!AF67:AH67)</f>
        <v>542397412.23760307</v>
      </c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ht="16.350000000000001" customHeight="1">
      <c r="B65" s="40" t="s">
        <v>2</v>
      </c>
      <c r="C65" s="9" t="s">
        <v>110</v>
      </c>
      <c r="D65" s="3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s="27" customFormat="1" ht="16.350000000000001" customHeight="1">
      <c r="B66" s="29" t="s">
        <v>3</v>
      </c>
      <c r="C66" s="28" t="s">
        <v>65</v>
      </c>
      <c r="D66" s="28"/>
      <c r="E66" s="70">
        <f>SUM(E54:E65)</f>
        <v>1432649233.5799999</v>
      </c>
      <c r="F66" s="70">
        <f>SUM(F54:F65)</f>
        <v>822491294.10000014</v>
      </c>
      <c r="G66" s="70">
        <f t="shared" ref="G66:N66" si="17">SUM(G54:G65)</f>
        <v>891249962.82999992</v>
      </c>
      <c r="H66" s="70">
        <f t="shared" si="17"/>
        <v>996768020.98199975</v>
      </c>
      <c r="I66" s="70">
        <f t="shared" si="17"/>
        <v>1216111742.0020003</v>
      </c>
      <c r="J66" s="70">
        <f t="shared" si="17"/>
        <v>1050691049.9574251</v>
      </c>
      <c r="K66" s="70">
        <f t="shared" si="17"/>
        <v>1311788062.0274472</v>
      </c>
      <c r="L66" s="70">
        <f t="shared" si="17"/>
        <v>1305254701.49384</v>
      </c>
      <c r="M66" s="70">
        <f t="shared" si="17"/>
        <v>1479498259.7193627</v>
      </c>
      <c r="N66" s="70">
        <f t="shared" si="17"/>
        <v>1523051745.416986</v>
      </c>
    </row>
    <row r="67" spans="1:29" s="27" customFormat="1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1" t="s">
        <v>16</v>
      </c>
      <c r="F68" s="2" t="s">
        <v>17</v>
      </c>
      <c r="G68" s="1" t="s">
        <v>18</v>
      </c>
      <c r="H68" s="2" t="s">
        <v>19</v>
      </c>
      <c r="I68" s="1" t="s">
        <v>73</v>
      </c>
      <c r="J68" s="2" t="s">
        <v>74</v>
      </c>
      <c r="K68" s="1" t="s">
        <v>71</v>
      </c>
      <c r="L68" s="1" t="s">
        <v>72</v>
      </c>
      <c r="M68" s="1" t="s">
        <v>158</v>
      </c>
      <c r="N68" s="68" t="s">
        <v>159</v>
      </c>
    </row>
    <row r="69" spans="1:29" ht="16.350000000000001" customHeight="1">
      <c r="B69" s="44" t="s">
        <v>111</v>
      </c>
      <c r="C69" s="9" t="s">
        <v>110</v>
      </c>
      <c r="D69" s="37"/>
      <c r="E69" s="38">
        <f>E54/E39</f>
        <v>0.81809720274531206</v>
      </c>
      <c r="F69" s="38">
        <f>F54/F39</f>
        <v>0.96642167854906413</v>
      </c>
      <c r="G69" s="38">
        <f t="shared" ref="G69:M79" si="18">G54/G39</f>
        <v>0.96031219373153798</v>
      </c>
      <c r="H69" s="38">
        <f t="shared" si="18"/>
        <v>1.0352119964131739</v>
      </c>
      <c r="I69" s="38">
        <f t="shared" si="18"/>
        <v>0.97915123997377274</v>
      </c>
      <c r="J69" s="38">
        <f t="shared" si="18"/>
        <v>0.9368428866886811</v>
      </c>
      <c r="K69" s="38">
        <f t="shared" si="18"/>
        <v>1.0116351475978644</v>
      </c>
      <c r="L69" s="38">
        <f t="shared" si="18"/>
        <v>0.90694542583176785</v>
      </c>
      <c r="M69" s="38">
        <f t="shared" si="18"/>
        <v>0.91828587592605149</v>
      </c>
      <c r="N69" s="38">
        <f t="shared" ref="N69" si="19">N54/N39</f>
        <v>0.92538777388710058</v>
      </c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ht="16.350000000000001" customHeight="1">
      <c r="B70" s="40" t="s">
        <v>112</v>
      </c>
      <c r="C70" s="9" t="s">
        <v>110</v>
      </c>
      <c r="D70" s="39"/>
      <c r="E70" s="38">
        <f t="shared" ref="E70:F81" si="20">E55/E40</f>
        <v>0.33074141990764522</v>
      </c>
      <c r="F70" s="38">
        <f t="shared" si="20"/>
        <v>0.82273454113755196</v>
      </c>
      <c r="G70" s="38">
        <f t="shared" ref="G70:L70" si="21">G55/G40</f>
        <v>0.59907926786075172</v>
      </c>
      <c r="H70" s="38">
        <f t="shared" si="21"/>
        <v>0.60604494712944046</v>
      </c>
      <c r="I70" s="38">
        <f t="shared" si="21"/>
        <v>0.37371016108410177</v>
      </c>
      <c r="J70" s="38">
        <f t="shared" si="21"/>
        <v>0.7386647207787167</v>
      </c>
      <c r="K70" s="38">
        <f t="shared" si="21"/>
        <v>0.6848727589470236</v>
      </c>
      <c r="L70" s="38">
        <f t="shared" si="21"/>
        <v>0.80654346107082475</v>
      </c>
      <c r="M70" s="38">
        <f t="shared" si="18"/>
        <v>0.28368464296583035</v>
      </c>
      <c r="N70" s="38">
        <f t="shared" ref="N70" si="22">N55/N40</f>
        <v>0.92069317521420635</v>
      </c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ht="16.350000000000001" customHeight="1">
      <c r="B71" s="40" t="s">
        <v>113</v>
      </c>
      <c r="C71" s="9" t="s">
        <v>110</v>
      </c>
      <c r="D71" s="39"/>
      <c r="E71" s="38">
        <f t="shared" si="20"/>
        <v>0.7232750331399852</v>
      </c>
      <c r="F71" s="38">
        <f t="shared" si="20"/>
        <v>0.83660324707929357</v>
      </c>
      <c r="G71" s="38">
        <f t="shared" ref="G71:L71" si="23">G56/G41</f>
        <v>1.0622808815372478</v>
      </c>
      <c r="H71" s="38">
        <f t="shared" si="23"/>
        <v>0.80185202507029296</v>
      </c>
      <c r="I71" s="38">
        <f t="shared" si="23"/>
        <v>0.81186366113013053</v>
      </c>
      <c r="J71" s="38">
        <f t="shared" si="23"/>
        <v>0.93806055335298788</v>
      </c>
      <c r="K71" s="38">
        <f t="shared" si="23"/>
        <v>0.64398518543248318</v>
      </c>
      <c r="L71" s="38">
        <f t="shared" si="23"/>
        <v>13.198359645160178</v>
      </c>
      <c r="M71" s="38">
        <f t="shared" si="18"/>
        <v>0.81742960867477632</v>
      </c>
      <c r="N71" s="38">
        <f t="shared" ref="N71" si="24">N56/N41</f>
        <v>0.82799007047711193</v>
      </c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ht="16.350000000000001" customHeight="1">
      <c r="B72" s="40" t="s">
        <v>114</v>
      </c>
      <c r="C72" s="9" t="s">
        <v>110</v>
      </c>
      <c r="D72" s="39"/>
      <c r="E72" s="38">
        <f t="shared" si="20"/>
        <v>1.093310674262139</v>
      </c>
      <c r="F72" s="38">
        <f t="shared" si="20"/>
        <v>0.97605801198641284</v>
      </c>
      <c r="G72" s="38">
        <f t="shared" ref="G72:L72" si="25">G57/G42</f>
        <v>0.91011506592170976</v>
      </c>
      <c r="H72" s="38">
        <f t="shared" si="25"/>
        <v>1.0543216887131304</v>
      </c>
      <c r="I72" s="38">
        <f t="shared" si="25"/>
        <v>0.47102980363196495</v>
      </c>
      <c r="J72" s="38">
        <f t="shared" si="25"/>
        <v>0.99485580653108152</v>
      </c>
      <c r="K72" s="38">
        <f t="shared" si="25"/>
        <v>0.83896907123581077</v>
      </c>
      <c r="L72" s="38">
        <f t="shared" si="25"/>
        <v>1.2515515000653878</v>
      </c>
      <c r="M72" s="38">
        <f t="shared" si="18"/>
        <v>0.4929145015128148</v>
      </c>
      <c r="N72" s="38">
        <f t="shared" ref="N72" si="26">N57/N42</f>
        <v>0.94591448505805331</v>
      </c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ht="16.350000000000001" customHeight="1">
      <c r="B73" s="40" t="s">
        <v>85</v>
      </c>
      <c r="C73" s="9" t="s">
        <v>110</v>
      </c>
      <c r="D73" s="39"/>
      <c r="E73" s="38">
        <f t="shared" si="20"/>
        <v>17.425012952905437</v>
      </c>
      <c r="F73" s="38">
        <f t="shared" si="20"/>
        <v>0.43019702672651755</v>
      </c>
      <c r="G73" s="38">
        <f t="shared" ref="G73:L73" si="27">G58/G43</f>
        <v>0.40614448517537416</v>
      </c>
      <c r="H73" s="38">
        <f t="shared" si="27"/>
        <v>1.0354425103197482</v>
      </c>
      <c r="I73" s="38">
        <f t="shared" si="27"/>
        <v>0.68598748687252975</v>
      </c>
      <c r="J73" s="38">
        <f t="shared" si="27"/>
        <v>0.48813278123554577</v>
      </c>
      <c r="K73" s="38">
        <f t="shared" si="27"/>
        <v>0.63515571595862541</v>
      </c>
      <c r="L73" s="38">
        <f t="shared" si="27"/>
        <v>0.69159175554335817</v>
      </c>
      <c r="M73" s="38">
        <f t="shared" si="18"/>
        <v>0.65640624710167472</v>
      </c>
      <c r="N73" s="38">
        <f t="shared" ref="N73" si="28">N58/N43</f>
        <v>0.35293917182799134</v>
      </c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ht="16.350000000000001" customHeight="1">
      <c r="B74" s="40" t="s">
        <v>115</v>
      </c>
      <c r="C74" s="9" t="s">
        <v>110</v>
      </c>
      <c r="D74" s="39"/>
      <c r="E74" s="38">
        <f t="shared" si="20"/>
        <v>0.28530541066677811</v>
      </c>
      <c r="F74" s="38">
        <f t="shared" si="20"/>
        <v>0.55621447754307896</v>
      </c>
      <c r="G74" s="38">
        <f t="shared" ref="G74:L74" si="29">G59/G44</f>
        <v>0.38001226229094315</v>
      </c>
      <c r="H74" s="38">
        <f t="shared" si="29"/>
        <v>0.46429010836873552</v>
      </c>
      <c r="I74" s="38">
        <f t="shared" si="29"/>
        <v>0.32630980238085672</v>
      </c>
      <c r="J74" s="38">
        <f t="shared" si="29"/>
        <v>0.54463474158539837</v>
      </c>
      <c r="K74" s="38">
        <f t="shared" si="29"/>
        <v>0.88849520896462553</v>
      </c>
      <c r="L74" s="38">
        <f t="shared" si="29"/>
        <v>0.50563802437647398</v>
      </c>
      <c r="M74" s="38">
        <f t="shared" si="18"/>
        <v>0.46517524119724907</v>
      </c>
      <c r="N74" s="38">
        <f t="shared" ref="N74" si="30">N59/N44</f>
        <v>0.58610400663601259</v>
      </c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ht="16.350000000000001" customHeight="1">
      <c r="B75" s="40" t="s">
        <v>116</v>
      </c>
      <c r="C75" s="9" t="s">
        <v>110</v>
      </c>
      <c r="D75" s="39"/>
      <c r="E75" s="38">
        <f t="shared" si="20"/>
        <v>34.651893614458785</v>
      </c>
      <c r="F75" s="38">
        <f t="shared" si="20"/>
        <v>0.26139288878827804</v>
      </c>
      <c r="G75" s="38">
        <f t="shared" ref="G75:L75" si="31">G60/G45</f>
        <v>7.3628434349189809E-2</v>
      </c>
      <c r="H75" s="38">
        <f t="shared" si="31"/>
        <v>0.23561113754919619</v>
      </c>
      <c r="I75" s="38">
        <f t="shared" si="31"/>
        <v>0.18859620252691367</v>
      </c>
      <c r="J75" s="38">
        <f t="shared" si="31"/>
        <v>0.19547053278266124</v>
      </c>
      <c r="K75" s="38">
        <f t="shared" si="31"/>
        <v>0.14712230406868548</v>
      </c>
      <c r="L75" s="38">
        <f t="shared" si="31"/>
        <v>0.77908039366799031</v>
      </c>
      <c r="M75" s="38">
        <f t="shared" si="18"/>
        <v>0.51138783217512784</v>
      </c>
      <c r="N75" s="38">
        <f t="shared" ref="N75" si="32">N60/N45</f>
        <v>0.55109720686697561</v>
      </c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ht="16.350000000000001" customHeight="1">
      <c r="B76" s="40" t="s">
        <v>117</v>
      </c>
      <c r="C76" s="9" t="s">
        <v>110</v>
      </c>
      <c r="D76" s="39"/>
      <c r="E76" s="38">
        <f t="shared" si="20"/>
        <v>0</v>
      </c>
      <c r="F76" s="38">
        <f t="shared" si="20"/>
        <v>0</v>
      </c>
      <c r="G76" s="38">
        <f t="shared" ref="G76:L76" si="33">G61/G46</f>
        <v>0.68057083294485465</v>
      </c>
      <c r="H76" s="38">
        <f t="shared" si="33"/>
        <v>0.24960514919847435</v>
      </c>
      <c r="I76" s="38">
        <f t="shared" si="33"/>
        <v>0.25209142494288356</v>
      </c>
      <c r="J76" s="38">
        <f t="shared" si="33"/>
        <v>0.14691649965781473</v>
      </c>
      <c r="K76" s="38">
        <f t="shared" si="33"/>
        <v>1.0595524050301586</v>
      </c>
      <c r="L76" s="38">
        <f t="shared" si="33"/>
        <v>0.14552475676817014</v>
      </c>
      <c r="M76" s="38">
        <f t="shared" si="18"/>
        <v>0.53127850026147727</v>
      </c>
      <c r="N76" s="38">
        <f t="shared" ref="N76" si="34">N61/N46</f>
        <v>0.22070146403525351</v>
      </c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ht="16.350000000000001" customHeight="1">
      <c r="B77" s="40" t="s">
        <v>118</v>
      </c>
      <c r="C77" s="9" t="s">
        <v>110</v>
      </c>
      <c r="D77" s="39"/>
      <c r="E77" s="38">
        <f t="shared" si="20"/>
        <v>0</v>
      </c>
      <c r="F77" s="38">
        <f t="shared" si="20"/>
        <v>1.7558673106862075</v>
      </c>
      <c r="G77" s="38">
        <f t="shared" ref="G77:L77" si="35">G62/G47</f>
        <v>1.4030445305863588</v>
      </c>
      <c r="H77" s="38">
        <f t="shared" si="35"/>
        <v>1.0174425026986098</v>
      </c>
      <c r="I77" s="38">
        <f t="shared" si="35"/>
        <v>0.58278007040689961</v>
      </c>
      <c r="J77" s="38">
        <f t="shared" si="35"/>
        <v>0.29654833607072906</v>
      </c>
      <c r="K77" s="38">
        <f t="shared" si="35"/>
        <v>0.27799961341132018</v>
      </c>
      <c r="L77" s="38">
        <f t="shared" si="35"/>
        <v>6.170470804910573E-2</v>
      </c>
      <c r="M77" s="38">
        <f t="shared" si="18"/>
        <v>0.44688126148145024</v>
      </c>
      <c r="N77" s="38">
        <f t="shared" ref="N77" si="36">N62/N47</f>
        <v>1.0762916800679929</v>
      </c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ht="16.350000000000001" customHeight="1">
      <c r="B78" s="40" t="s">
        <v>101</v>
      </c>
      <c r="C78" s="9" t="s">
        <v>110</v>
      </c>
      <c r="D78" s="39"/>
      <c r="E78" s="38"/>
      <c r="F78" s="38">
        <f t="shared" si="20"/>
        <v>0.56275001044558082</v>
      </c>
      <c r="G78" s="38">
        <f t="shared" ref="G78:L78" si="37">G63/G48</f>
        <v>0.64551926297535378</v>
      </c>
      <c r="H78" s="38">
        <f t="shared" si="37"/>
        <v>0</v>
      </c>
      <c r="I78" s="38">
        <f t="shared" si="37"/>
        <v>2.2026371894306234</v>
      </c>
      <c r="J78" s="38">
        <f t="shared" si="37"/>
        <v>0.80992698676609187</v>
      </c>
      <c r="K78" s="38">
        <f t="shared" si="37"/>
        <v>0.18708067513352922</v>
      </c>
      <c r="L78" s="38">
        <f t="shared" si="37"/>
        <v>1.5658702635587565</v>
      </c>
      <c r="M78" s="38">
        <f t="shared" si="18"/>
        <v>3.0485490284663044</v>
      </c>
      <c r="N78" s="38">
        <f t="shared" ref="N78" si="38">N63/N48</f>
        <v>5.2642044045257128</v>
      </c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ht="16.350000000000001" customHeight="1">
      <c r="B79" s="40" t="s">
        <v>86</v>
      </c>
      <c r="C79" s="9" t="s">
        <v>110</v>
      </c>
      <c r="D79" s="39"/>
      <c r="E79" s="38">
        <f t="shared" si="20"/>
        <v>0.9609314596330969</v>
      </c>
      <c r="F79" s="38">
        <f t="shared" si="20"/>
        <v>1.053479554067192</v>
      </c>
      <c r="G79" s="38">
        <f t="shared" ref="G79:L79" si="39">G64/G49</f>
        <v>0.97168242210549605</v>
      </c>
      <c r="H79" s="38">
        <f t="shared" si="39"/>
        <v>0.79778683932684247</v>
      </c>
      <c r="I79" s="38">
        <f t="shared" si="39"/>
        <v>0.87518580393228329</v>
      </c>
      <c r="J79" s="38">
        <f t="shared" si="39"/>
        <v>1.1161512899203467</v>
      </c>
      <c r="K79" s="38">
        <f t="shared" si="39"/>
        <v>1.071488118730231</v>
      </c>
      <c r="L79" s="38">
        <f t="shared" si="39"/>
        <v>0.76084875036946653</v>
      </c>
      <c r="M79" s="38">
        <f t="shared" si="18"/>
        <v>0.98164889743984274</v>
      </c>
      <c r="N79" s="38">
        <f t="shared" ref="N79" si="40">N64/N49</f>
        <v>1.102166543693061</v>
      </c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ht="16.350000000000001" customHeight="1">
      <c r="B80" s="40" t="s">
        <v>2</v>
      </c>
      <c r="C80" s="9" t="s">
        <v>110</v>
      </c>
      <c r="D80" s="39"/>
      <c r="E80" s="38"/>
      <c r="F80" s="38"/>
      <c r="G80" s="38"/>
      <c r="H80" s="38"/>
      <c r="I80" s="38"/>
      <c r="J80" s="38"/>
      <c r="K80" s="38"/>
      <c r="L80" s="38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s="27" customFormat="1" ht="16.350000000000001" customHeight="1">
      <c r="B81" s="29" t="s">
        <v>3</v>
      </c>
      <c r="C81" s="28" t="s">
        <v>65</v>
      </c>
      <c r="D81" s="28"/>
      <c r="E81" s="72">
        <f t="shared" si="20"/>
        <v>1.2216803747156493</v>
      </c>
      <c r="F81" s="72">
        <f t="shared" si="20"/>
        <v>0.86228255207030768</v>
      </c>
      <c r="G81" s="72">
        <f t="shared" ref="G81:M81" si="41">G66/G51</f>
        <v>0.86893269938473705</v>
      </c>
      <c r="H81" s="72">
        <f t="shared" si="41"/>
        <v>0.86797387900124601</v>
      </c>
      <c r="I81" s="72">
        <f t="shared" si="41"/>
        <v>0.8536107153883129</v>
      </c>
      <c r="J81" s="72">
        <f t="shared" si="41"/>
        <v>0.88647551205620922</v>
      </c>
      <c r="K81" s="72">
        <f t="shared" si="41"/>
        <v>0.96652187504225007</v>
      </c>
      <c r="L81" s="72">
        <f t="shared" si="41"/>
        <v>0.83742517348959533</v>
      </c>
      <c r="M81" s="72">
        <f t="shared" si="41"/>
        <v>0.89048665893486911</v>
      </c>
      <c r="N81" s="72">
        <f t="shared" ref="N81" si="42">N66/N51</f>
        <v>0.90495738719644248</v>
      </c>
    </row>
    <row r="82" spans="1:29" s="27" customFormat="1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1" t="s">
        <v>16</v>
      </c>
      <c r="F83" s="2" t="s">
        <v>17</v>
      </c>
      <c r="G83" s="1" t="s">
        <v>18</v>
      </c>
      <c r="H83" s="2" t="s">
        <v>19</v>
      </c>
      <c r="I83" s="1" t="s">
        <v>73</v>
      </c>
      <c r="J83" s="2" t="s">
        <v>74</v>
      </c>
      <c r="K83" s="1" t="s">
        <v>71</v>
      </c>
      <c r="L83" s="1" t="s">
        <v>72</v>
      </c>
      <c r="M83" s="1" t="s">
        <v>158</v>
      </c>
      <c r="N83" s="68" t="s">
        <v>159</v>
      </c>
    </row>
    <row r="84" spans="1:29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s="27" customFormat="1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  <c r="G96" s="70">
        <f t="shared" ref="G96:L96" si="43">SUM(G84:G95)</f>
        <v>0</v>
      </c>
      <c r="H96" s="70">
        <f t="shared" si="43"/>
        <v>0</v>
      </c>
      <c r="I96" s="70">
        <f t="shared" si="43"/>
        <v>0</v>
      </c>
      <c r="J96" s="70">
        <f t="shared" si="43"/>
        <v>0</v>
      </c>
      <c r="K96" s="70">
        <f t="shared" si="43"/>
        <v>0</v>
      </c>
      <c r="L96" s="70">
        <f t="shared" si="43"/>
        <v>0</v>
      </c>
    </row>
    <row r="97" spans="1:29" s="27" customFormat="1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1" t="s">
        <v>16</v>
      </c>
      <c r="F98" s="2" t="s">
        <v>17</v>
      </c>
      <c r="G98" s="1" t="s">
        <v>18</v>
      </c>
      <c r="H98" s="2" t="s">
        <v>19</v>
      </c>
      <c r="I98" s="1" t="s">
        <v>73</v>
      </c>
      <c r="J98" s="2" t="s">
        <v>74</v>
      </c>
      <c r="K98" s="1" t="s">
        <v>71</v>
      </c>
      <c r="L98" s="1" t="s">
        <v>72</v>
      </c>
      <c r="M98" s="1" t="s">
        <v>158</v>
      </c>
      <c r="N98" s="68" t="s">
        <v>159</v>
      </c>
    </row>
    <row r="99" spans="1:29" ht="16.350000000000001" customHeight="1">
      <c r="B99" s="44" t="s">
        <v>111</v>
      </c>
      <c r="C99" s="9" t="s">
        <v>110</v>
      </c>
      <c r="D99" s="37"/>
      <c r="E99" s="64">
        <f>E39-E54</f>
        <v>80309204.593616009</v>
      </c>
      <c r="F99" s="64">
        <f t="shared" ref="F99:M99" si="44">F39-F54</f>
        <v>14622513.092951775</v>
      </c>
      <c r="G99" s="64">
        <f t="shared" si="44"/>
        <v>19603918.84435612</v>
      </c>
      <c r="H99" s="64">
        <f t="shared" si="44"/>
        <v>-18468791.034744859</v>
      </c>
      <c r="I99" s="64">
        <f t="shared" si="44"/>
        <v>12346500.528960109</v>
      </c>
      <c r="J99" s="64">
        <f t="shared" si="44"/>
        <v>36080480.551087976</v>
      </c>
      <c r="K99" s="64">
        <f t="shared" si="44"/>
        <v>-7859475.8910956383</v>
      </c>
      <c r="L99" s="64">
        <f t="shared" si="44"/>
        <v>68824461.082834959</v>
      </c>
      <c r="M99" s="64">
        <f t="shared" si="44"/>
        <v>59012730.449148059</v>
      </c>
      <c r="N99" s="64">
        <f t="shared" ref="N99" si="45">N39-N54</f>
        <v>65329700.417715669</v>
      </c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ht="16.350000000000001" customHeight="1">
      <c r="B100" s="40" t="s">
        <v>112</v>
      </c>
      <c r="C100" s="9" t="s">
        <v>110</v>
      </c>
      <c r="D100" s="39"/>
      <c r="E100" s="64">
        <f t="shared" ref="E100:M110" si="46">E40-E55</f>
        <v>1775005.2510000002</v>
      </c>
      <c r="F100" s="64">
        <f t="shared" si="46"/>
        <v>101686.20399999851</v>
      </c>
      <c r="G100" s="64">
        <f t="shared" si="46"/>
        <v>80193.801000000763</v>
      </c>
      <c r="H100" s="64">
        <f t="shared" si="46"/>
        <v>644064.95100000023</v>
      </c>
      <c r="I100" s="64">
        <f t="shared" si="46"/>
        <v>1045022.5080000013</v>
      </c>
      <c r="J100" s="64">
        <f t="shared" si="46"/>
        <v>162998.08399999858</v>
      </c>
      <c r="K100" s="64">
        <f t="shared" si="46"/>
        <v>105297.22199999832</v>
      </c>
      <c r="L100" s="64">
        <f t="shared" si="46"/>
        <v>449223.49336000066</v>
      </c>
      <c r="M100" s="64">
        <f t="shared" si="46"/>
        <v>1831688.8871209999</v>
      </c>
      <c r="N100" s="64">
        <f t="shared" ref="N100" si="47">N40-N55</f>
        <v>37327.750933002098</v>
      </c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ht="16.350000000000001" customHeight="1">
      <c r="B101" s="40" t="s">
        <v>113</v>
      </c>
      <c r="C101" s="9" t="s">
        <v>110</v>
      </c>
      <c r="D101" s="39"/>
      <c r="E101" s="64">
        <f t="shared" si="46"/>
        <v>971660.00154000055</v>
      </c>
      <c r="F101" s="64">
        <f t="shared" si="46"/>
        <v>299629.75184000004</v>
      </c>
      <c r="G101" s="64">
        <f t="shared" si="46"/>
        <v>-153127.71082499996</v>
      </c>
      <c r="H101" s="64">
        <f t="shared" si="46"/>
        <v>541424.49037999986</v>
      </c>
      <c r="I101" s="64">
        <f t="shared" si="46"/>
        <v>612225.30785400094</v>
      </c>
      <c r="J101" s="64">
        <f t="shared" si="46"/>
        <v>116688.13909599977</v>
      </c>
      <c r="K101" s="64">
        <f t="shared" si="46"/>
        <v>733258.95424600015</v>
      </c>
      <c r="L101" s="64">
        <f t="shared" si="46"/>
        <v>-43161180.498583995</v>
      </c>
      <c r="M101" s="64">
        <f t="shared" si="46"/>
        <v>723587.11965399981</v>
      </c>
      <c r="N101" s="64">
        <f t="shared" ref="N101" si="48">N41-N56</f>
        <v>434115.9260470001</v>
      </c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ht="16.350000000000001" customHeight="1">
      <c r="B102" s="40" t="s">
        <v>114</v>
      </c>
      <c r="C102" s="9" t="s">
        <v>110</v>
      </c>
      <c r="D102" s="39"/>
      <c r="E102" s="64">
        <f t="shared" si="46"/>
        <v>-6137926.4842299968</v>
      </c>
      <c r="F102" s="64">
        <f t="shared" si="46"/>
        <v>807171.30218305066</v>
      </c>
      <c r="G102" s="64">
        <f t="shared" si="46"/>
        <v>3140451.5917149931</v>
      </c>
      <c r="H102" s="64">
        <f t="shared" si="46"/>
        <v>-2779711.0818850026</v>
      </c>
      <c r="I102" s="64">
        <f t="shared" si="46"/>
        <v>38367628.56865</v>
      </c>
      <c r="J102" s="64">
        <f t="shared" si="46"/>
        <v>215530.76400000602</v>
      </c>
      <c r="K102" s="64">
        <f t="shared" si="46"/>
        <v>7181526.5758709982</v>
      </c>
      <c r="L102" s="64">
        <f t="shared" si="46"/>
        <v>-16393965.662095979</v>
      </c>
      <c r="M102" s="64">
        <f t="shared" si="46"/>
        <v>39858953.265865989</v>
      </c>
      <c r="N102" s="64">
        <f t="shared" ref="N102" si="49">N42-N57</f>
        <v>2821724.5394019932</v>
      </c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ht="16.350000000000001" customHeight="1">
      <c r="B103" s="40" t="s">
        <v>85</v>
      </c>
      <c r="C103" s="9" t="s">
        <v>110</v>
      </c>
      <c r="D103" s="39"/>
      <c r="E103" s="64">
        <f t="shared" si="46"/>
        <v>-315056014.11849993</v>
      </c>
      <c r="F103" s="64">
        <f t="shared" si="46"/>
        <v>46676080.741999991</v>
      </c>
      <c r="G103" s="64">
        <f t="shared" si="46"/>
        <v>56268859.770519987</v>
      </c>
      <c r="H103" s="64">
        <f t="shared" si="46"/>
        <v>-681793.26860000193</v>
      </c>
      <c r="I103" s="64">
        <f t="shared" si="46"/>
        <v>4716969.5739999991</v>
      </c>
      <c r="J103" s="64">
        <f t="shared" si="46"/>
        <v>34413455.96549999</v>
      </c>
      <c r="K103" s="64">
        <f t="shared" si="46"/>
        <v>34632138.503999993</v>
      </c>
      <c r="L103" s="64">
        <f t="shared" si="46"/>
        <v>6596040.3011100013</v>
      </c>
      <c r="M103" s="64">
        <f t="shared" si="46"/>
        <v>6367422.8120310009</v>
      </c>
      <c r="N103" s="64">
        <f t="shared" ref="N103" si="50">N43-N58</f>
        <v>68612880.350462988</v>
      </c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ht="16.350000000000001" customHeight="1">
      <c r="B104" s="40" t="s">
        <v>115</v>
      </c>
      <c r="C104" s="9" t="s">
        <v>110</v>
      </c>
      <c r="D104" s="39"/>
      <c r="E104" s="64">
        <f t="shared" si="46"/>
        <v>17149745.472800002</v>
      </c>
      <c r="F104" s="64">
        <f t="shared" si="46"/>
        <v>8183397.2102999985</v>
      </c>
      <c r="G104" s="64">
        <f t="shared" si="46"/>
        <v>11669678.21484</v>
      </c>
      <c r="H104" s="64">
        <f t="shared" si="46"/>
        <v>10804058.8135</v>
      </c>
      <c r="I104" s="64">
        <f t="shared" si="46"/>
        <v>15470018.0133</v>
      </c>
      <c r="J104" s="64">
        <f t="shared" si="46"/>
        <v>9884687.5368999988</v>
      </c>
      <c r="K104" s="64">
        <f t="shared" si="46"/>
        <v>2868743.2564080022</v>
      </c>
      <c r="L104" s="64">
        <f t="shared" si="46"/>
        <v>13667425.254500002</v>
      </c>
      <c r="M104" s="64">
        <f t="shared" si="46"/>
        <v>13273790.456571005</v>
      </c>
      <c r="N104" s="64">
        <f t="shared" ref="N104" si="51">N44-N59</f>
        <v>7899115.7021599989</v>
      </c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ht="16.350000000000001" customHeight="1">
      <c r="B105" s="40" t="s">
        <v>116</v>
      </c>
      <c r="C105" s="9" t="s">
        <v>110</v>
      </c>
      <c r="D105" s="39"/>
      <c r="E105" s="64">
        <f t="shared" si="46"/>
        <v>-135395208.90700001</v>
      </c>
      <c r="F105" s="64">
        <f t="shared" si="46"/>
        <v>4795979.2879999988</v>
      </c>
      <c r="G105" s="64">
        <f t="shared" si="46"/>
        <v>6683391.0820000013</v>
      </c>
      <c r="H105" s="64">
        <f t="shared" si="46"/>
        <v>2087537.3319999999</v>
      </c>
      <c r="I105" s="64">
        <f t="shared" si="46"/>
        <v>2522649.5720000006</v>
      </c>
      <c r="J105" s="64">
        <f t="shared" si="46"/>
        <v>15672475.875099996</v>
      </c>
      <c r="K105" s="64">
        <f t="shared" si="46"/>
        <v>19820737.210499998</v>
      </c>
      <c r="L105" s="64">
        <f t="shared" si="46"/>
        <v>986774.17779999925</v>
      </c>
      <c r="M105" s="64">
        <f t="shared" si="46"/>
        <v>2315134.9728245791</v>
      </c>
      <c r="N105" s="64">
        <f t="shared" ref="N105" si="52">N45-N60</f>
        <v>1934311.8766999994</v>
      </c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ht="16.350000000000001" customHeight="1">
      <c r="B106" s="40" t="s">
        <v>117</v>
      </c>
      <c r="C106" s="9" t="s">
        <v>110</v>
      </c>
      <c r="D106" s="39"/>
      <c r="E106" s="64">
        <f t="shared" si="46"/>
        <v>74536907.480000004</v>
      </c>
      <c r="F106" s="64">
        <f t="shared" si="46"/>
        <v>64575059</v>
      </c>
      <c r="G106" s="64">
        <f t="shared" si="46"/>
        <v>22059674.210000008</v>
      </c>
      <c r="H106" s="64">
        <f t="shared" si="46"/>
        <v>54113896.920000002</v>
      </c>
      <c r="I106" s="64">
        <f t="shared" si="46"/>
        <v>65269926</v>
      </c>
      <c r="J106" s="64">
        <f t="shared" si="46"/>
        <v>75485636.604999989</v>
      </c>
      <c r="K106" s="64">
        <f t="shared" si="46"/>
        <v>-5564319.4900000095</v>
      </c>
      <c r="L106" s="64">
        <f t="shared" si="46"/>
        <v>85139403.782680005</v>
      </c>
      <c r="M106" s="64">
        <f t="shared" si="46"/>
        <v>50564506.753600001</v>
      </c>
      <c r="N106" s="64">
        <f t="shared" ref="N106" si="53">N46-N61</f>
        <v>95337203.869599998</v>
      </c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ht="16.350000000000001" customHeight="1">
      <c r="B107" s="40" t="s">
        <v>118</v>
      </c>
      <c r="C107" s="9" t="s">
        <v>110</v>
      </c>
      <c r="D107" s="39"/>
      <c r="E107" s="64">
        <f t="shared" si="46"/>
        <v>921023.14</v>
      </c>
      <c r="F107" s="64">
        <f t="shared" si="46"/>
        <v>-215240.44160000002</v>
      </c>
      <c r="G107" s="64">
        <f t="shared" si="46"/>
        <v>-114905.69880000001</v>
      </c>
      <c r="H107" s="64">
        <f t="shared" si="46"/>
        <v>-11864.75</v>
      </c>
      <c r="I107" s="64">
        <f t="shared" si="46"/>
        <v>421288.02</v>
      </c>
      <c r="J107" s="64">
        <f t="shared" si="46"/>
        <v>473144.41000000003</v>
      </c>
      <c r="K107" s="64">
        <f t="shared" si="46"/>
        <v>597339.28</v>
      </c>
      <c r="L107" s="64">
        <f t="shared" si="46"/>
        <v>1052633.77</v>
      </c>
      <c r="M107" s="64">
        <f t="shared" si="46"/>
        <v>742638.53</v>
      </c>
      <c r="N107" s="64">
        <f t="shared" ref="N107" si="54">N47-N62</f>
        <v>-63795.449999999953</v>
      </c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ht="16.350000000000001" customHeight="1">
      <c r="B108" s="40" t="s">
        <v>101</v>
      </c>
      <c r="C108" s="9" t="s">
        <v>110</v>
      </c>
      <c r="D108" s="39"/>
      <c r="E108" s="64">
        <f t="shared" si="46"/>
        <v>0</v>
      </c>
      <c r="F108" s="64">
        <f t="shared" si="46"/>
        <v>7238647.701100003</v>
      </c>
      <c r="G108" s="64">
        <f t="shared" si="46"/>
        <v>7158785.4600000009</v>
      </c>
      <c r="H108" s="64">
        <f t="shared" si="46"/>
        <v>17149565.439999998</v>
      </c>
      <c r="I108" s="64">
        <f t="shared" si="46"/>
        <v>-9336578.9145600013</v>
      </c>
      <c r="J108" s="64">
        <f t="shared" si="46"/>
        <v>3262040.8100000024</v>
      </c>
      <c r="K108" s="64">
        <f t="shared" si="46"/>
        <v>19553793.88752</v>
      </c>
      <c r="L108" s="64">
        <f t="shared" si="46"/>
        <v>-4047427.8740400001</v>
      </c>
      <c r="M108" s="64">
        <f t="shared" si="46"/>
        <v>-5478142.5815439997</v>
      </c>
      <c r="N108" s="64">
        <f t="shared" ref="N108" si="55">N48-N63</f>
        <v>-32106852.329999998</v>
      </c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ht="16.350000000000001" customHeight="1">
      <c r="B109" s="40" t="s">
        <v>86</v>
      </c>
      <c r="C109" s="9" t="s">
        <v>110</v>
      </c>
      <c r="D109" s="39"/>
      <c r="E109" s="64">
        <f t="shared" si="46"/>
        <v>20963812.001499951</v>
      </c>
      <c r="F109" s="64">
        <f t="shared" si="46"/>
        <v>-15722643.939298332</v>
      </c>
      <c r="G109" s="64">
        <f t="shared" si="46"/>
        <v>8036652.6603999734</v>
      </c>
      <c r="H109" s="64">
        <f t="shared" si="46"/>
        <v>88218404.501600027</v>
      </c>
      <c r="I109" s="64">
        <f t="shared" si="46"/>
        <v>77120458.085000038</v>
      </c>
      <c r="J109" s="64">
        <f t="shared" si="46"/>
        <v>-41212758.149990976</v>
      </c>
      <c r="K109" s="64">
        <f t="shared" si="46"/>
        <v>-26631677.156196952</v>
      </c>
      <c r="L109" s="64">
        <f t="shared" si="46"/>
        <v>140284245.01764303</v>
      </c>
      <c r="M109" s="64">
        <f t="shared" si="46"/>
        <v>12738531.490764141</v>
      </c>
      <c r="N109" s="64">
        <f t="shared" ref="N109" si="56">N49-N64</f>
        <v>-50278126.507720053</v>
      </c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ht="16.350000000000001" customHeight="1">
      <c r="B110" s="40" t="s">
        <v>2</v>
      </c>
      <c r="C110" s="9" t="s">
        <v>110</v>
      </c>
      <c r="D110" s="39"/>
      <c r="E110" s="64">
        <f t="shared" si="46"/>
        <v>0</v>
      </c>
      <c r="F110" s="64">
        <f t="shared" si="46"/>
        <v>0</v>
      </c>
      <c r="G110" s="64">
        <f t="shared" si="46"/>
        <v>0</v>
      </c>
      <c r="H110" s="64">
        <f t="shared" si="46"/>
        <v>0</v>
      </c>
      <c r="I110" s="64">
        <f t="shared" si="46"/>
        <v>0</v>
      </c>
      <c r="J110" s="64">
        <f t="shared" si="46"/>
        <v>0</v>
      </c>
      <c r="K110" s="64">
        <f t="shared" si="46"/>
        <v>0</v>
      </c>
      <c r="L110" s="64">
        <f t="shared" si="46"/>
        <v>0</v>
      </c>
      <c r="M110" s="64">
        <f t="shared" si="46"/>
        <v>0</v>
      </c>
      <c r="N110" s="64">
        <f t="shared" ref="N110" si="57">N50-N65</f>
        <v>0</v>
      </c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s="27" customFormat="1" ht="16.350000000000001" customHeight="1">
      <c r="B111" s="29" t="s">
        <v>3</v>
      </c>
      <c r="C111" s="28" t="s">
        <v>65</v>
      </c>
      <c r="D111" s="28"/>
      <c r="E111" s="70">
        <f>SUM(E99:E110)</f>
        <v>-259961791.56927395</v>
      </c>
      <c r="F111" s="70">
        <f>SUM(F99:F110)</f>
        <v>131362279.91147646</v>
      </c>
      <c r="G111" s="70">
        <f t="shared" ref="G111:M111" si="58">SUM(G99:G110)</f>
        <v>134433572.22520608</v>
      </c>
      <c r="H111" s="70">
        <f t="shared" si="58"/>
        <v>151616792.31325018</v>
      </c>
      <c r="I111" s="70">
        <f t="shared" si="58"/>
        <v>208556107.26320416</v>
      </c>
      <c r="J111" s="70">
        <f t="shared" si="58"/>
        <v>134554380.59069297</v>
      </c>
      <c r="K111" s="70">
        <f t="shared" si="58"/>
        <v>45437362.353252396</v>
      </c>
      <c r="L111" s="70">
        <f t="shared" si="58"/>
        <v>253397632.84520802</v>
      </c>
      <c r="M111" s="70">
        <f t="shared" si="58"/>
        <v>181950842.15603575</v>
      </c>
      <c r="N111" s="70">
        <f t="shared" ref="N111" si="59">SUM(N99:N110)</f>
        <v>159957606.14530063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80" t="s">
        <v>16</v>
      </c>
      <c r="F112" s="81" t="s">
        <v>17</v>
      </c>
      <c r="G112" s="80" t="s">
        <v>18</v>
      </c>
      <c r="H112" s="81" t="s">
        <v>19</v>
      </c>
      <c r="I112" s="80" t="s">
        <v>73</v>
      </c>
      <c r="J112" s="81" t="s">
        <v>74</v>
      </c>
      <c r="K112" s="80" t="s">
        <v>71</v>
      </c>
      <c r="L112" s="80" t="s">
        <v>72</v>
      </c>
      <c r="M112" s="1" t="s">
        <v>158</v>
      </c>
      <c r="N112" s="68" t="s">
        <v>159</v>
      </c>
    </row>
    <row r="113" spans="2:15" s="83" customFormat="1" ht="16.350000000000001" customHeight="1">
      <c r="B113" s="84" t="s">
        <v>128</v>
      </c>
      <c r="C113" s="85" t="s">
        <v>65</v>
      </c>
      <c r="D113" s="85"/>
      <c r="E113" s="90">
        <v>562.22500000000002</v>
      </c>
      <c r="F113" s="90">
        <v>275.572</v>
      </c>
      <c r="G113" s="90">
        <v>297.63099999999997</v>
      </c>
      <c r="H113" s="90">
        <v>351.745</v>
      </c>
      <c r="I113" s="90">
        <v>417.01499999999999</v>
      </c>
      <c r="J113" s="90">
        <v>492.5</v>
      </c>
      <c r="K113" s="90">
        <v>486.93700000000001</v>
      </c>
      <c r="L113" s="90">
        <v>571.57600000000002</v>
      </c>
      <c r="M113" s="90">
        <v>622.6</v>
      </c>
      <c r="N113" s="134">
        <v>717.97799999999995</v>
      </c>
      <c r="O113" s="90"/>
    </row>
    <row r="114" spans="2:15" s="83" customFormat="1" ht="16.350000000000001" customHeight="1">
      <c r="B114" s="86" t="s">
        <v>129</v>
      </c>
      <c r="C114" s="85" t="s">
        <v>65</v>
      </c>
      <c r="D114" s="85"/>
      <c r="E114" s="90">
        <v>37.438000000000002</v>
      </c>
      <c r="F114" s="90">
        <v>38.133000000000003</v>
      </c>
      <c r="G114" s="90">
        <v>38.829000000000001</v>
      </c>
      <c r="H114" s="90">
        <v>39.533999999999999</v>
      </c>
      <c r="I114" s="90">
        <v>40.716000000000001</v>
      </c>
      <c r="J114" s="90">
        <v>41.276000000000003</v>
      </c>
      <c r="K114" s="90">
        <v>41.856999999999999</v>
      </c>
      <c r="L114" s="90">
        <v>43.055999999999997</v>
      </c>
      <c r="M114" s="90">
        <v>44.44</v>
      </c>
      <c r="N114" s="134">
        <v>44.423000000000002</v>
      </c>
      <c r="O114" s="90"/>
    </row>
    <row r="115" spans="2:15" s="83" customFormat="1" ht="16.350000000000001" customHeight="1">
      <c r="B115" s="84" t="s">
        <v>130</v>
      </c>
      <c r="C115" s="85" t="s">
        <v>65</v>
      </c>
      <c r="D115" s="85"/>
      <c r="E115" s="90"/>
      <c r="F115" s="90">
        <v>7.6340000000000003</v>
      </c>
      <c r="G115" s="90">
        <v>14.792</v>
      </c>
      <c r="H115" s="90">
        <v>31.942</v>
      </c>
      <c r="I115" s="90">
        <v>22.606000000000002</v>
      </c>
      <c r="J115" s="90">
        <v>25.867000000000001</v>
      </c>
      <c r="K115" s="90">
        <v>45.418999999999997</v>
      </c>
      <c r="L115" s="90">
        <v>41.372</v>
      </c>
      <c r="M115" s="90">
        <v>35.869999999999997</v>
      </c>
      <c r="N115" s="134">
        <v>3.7669999999999999</v>
      </c>
      <c r="O115" s="90"/>
    </row>
    <row r="116" spans="2:15" s="83" customFormat="1" ht="16.350000000000001" customHeight="1">
      <c r="B116" s="87" t="s">
        <v>131</v>
      </c>
      <c r="C116" s="85" t="s">
        <v>65</v>
      </c>
      <c r="D116" s="88"/>
      <c r="E116" s="90">
        <v>20.934999999999999</v>
      </c>
      <c r="F116" s="90">
        <v>31.783999999999999</v>
      </c>
      <c r="G116" s="90">
        <v>42.53</v>
      </c>
      <c r="H116" s="90">
        <v>6.2629999999999999</v>
      </c>
      <c r="I116" s="90">
        <v>28.552</v>
      </c>
      <c r="J116" s="90">
        <v>36.765999999999998</v>
      </c>
      <c r="K116" s="90">
        <v>48.843000000000004</v>
      </c>
      <c r="L116" s="90">
        <v>14.337</v>
      </c>
      <c r="M116" s="90">
        <v>37.6</v>
      </c>
      <c r="N116" s="134">
        <v>53.459000000000003</v>
      </c>
      <c r="O116" s="90"/>
    </row>
    <row r="117" spans="2:15" s="83" customFormat="1" ht="16.350000000000001" customHeight="1">
      <c r="B117" s="84" t="s">
        <v>132</v>
      </c>
      <c r="C117" s="85" t="s">
        <v>65</v>
      </c>
      <c r="D117" s="89"/>
      <c r="E117" s="90">
        <v>6.8639999999999999</v>
      </c>
      <c r="F117" s="90">
        <v>6.87</v>
      </c>
      <c r="G117" s="90">
        <v>6.82</v>
      </c>
      <c r="H117" s="90">
        <v>6.83</v>
      </c>
      <c r="I117" s="90">
        <v>6.8470000000000004</v>
      </c>
      <c r="J117" s="90">
        <v>6.8540000000000001</v>
      </c>
      <c r="K117" s="90">
        <v>6.8579999999999997</v>
      </c>
      <c r="L117" s="90">
        <v>6.8710000000000004</v>
      </c>
      <c r="M117" s="90">
        <v>6.9</v>
      </c>
      <c r="N117" s="134">
        <v>6.9029999999999996</v>
      </c>
      <c r="O117" s="90"/>
    </row>
    <row r="118" spans="2:15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>
        <v>2.3610000000000002</v>
      </c>
      <c r="H118" s="90">
        <v>2.3610000000000002</v>
      </c>
      <c r="I118" s="90">
        <v>2.3610000000000002</v>
      </c>
      <c r="J118" s="90">
        <v>2.3610000000000002</v>
      </c>
      <c r="K118" s="90">
        <v>2.3610000000000002</v>
      </c>
      <c r="L118" s="90">
        <v>2.3610000000000002</v>
      </c>
      <c r="M118" s="90">
        <v>2.4</v>
      </c>
      <c r="N118" s="134">
        <v>2.3610000000000002</v>
      </c>
      <c r="O118" s="90"/>
    </row>
    <row r="119" spans="2:15" s="83" customFormat="1" ht="16.350000000000001" customHeight="1">
      <c r="B119" s="84" t="s">
        <v>134</v>
      </c>
      <c r="C119" s="85" t="s">
        <v>65</v>
      </c>
      <c r="D119" s="85"/>
      <c r="E119" s="90">
        <v>3.2709999999999999</v>
      </c>
      <c r="F119" s="90">
        <v>3.3330000000000002</v>
      </c>
      <c r="G119" s="90">
        <v>3.43</v>
      </c>
      <c r="H119" s="90">
        <v>3.4119999999999999</v>
      </c>
      <c r="I119" s="90">
        <v>3.528</v>
      </c>
      <c r="J119" s="90">
        <v>3.516</v>
      </c>
      <c r="K119" s="90">
        <v>3.456</v>
      </c>
      <c r="L119" s="90">
        <v>3.4489999999999998</v>
      </c>
      <c r="M119" s="90">
        <v>3.5</v>
      </c>
      <c r="N119" s="134">
        <v>3.629</v>
      </c>
      <c r="O119" s="90"/>
    </row>
    <row r="120" spans="2:15" s="83" customFormat="1" ht="16.350000000000001" customHeight="1">
      <c r="B120" s="84" t="s">
        <v>135</v>
      </c>
      <c r="C120" s="85" t="s">
        <v>65</v>
      </c>
      <c r="D120" s="85"/>
      <c r="E120" s="90">
        <v>1.1040000000000001</v>
      </c>
      <c r="F120" s="90">
        <v>1.111</v>
      </c>
      <c r="G120" s="90">
        <v>1.0840000000000001</v>
      </c>
      <c r="H120" s="90">
        <v>1.111</v>
      </c>
      <c r="I120" s="90">
        <v>1.127</v>
      </c>
      <c r="J120" s="90">
        <v>1.109</v>
      </c>
      <c r="K120" s="90">
        <v>1.08</v>
      </c>
      <c r="L120" s="90">
        <v>1.117</v>
      </c>
      <c r="M120" s="90">
        <v>1.2</v>
      </c>
      <c r="N120" s="134">
        <v>1.1259999999999999</v>
      </c>
      <c r="O120" s="90"/>
    </row>
    <row r="121" spans="2:15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>
        <v>2.7730000000000001</v>
      </c>
      <c r="H121" s="90">
        <v>2.7730000000000001</v>
      </c>
      <c r="I121" s="90">
        <v>2.7730000000000001</v>
      </c>
      <c r="J121" s="90">
        <v>2.7730000000000001</v>
      </c>
      <c r="K121" s="90">
        <v>2.7730000000000001</v>
      </c>
      <c r="L121" s="90">
        <v>2.7730000000000001</v>
      </c>
      <c r="M121" s="90">
        <v>2.8</v>
      </c>
      <c r="N121" s="134">
        <v>2.7730000000000001</v>
      </c>
      <c r="O121" s="90"/>
    </row>
    <row r="122" spans="2:15" s="83" customFormat="1" ht="27" customHeight="1">
      <c r="B122" s="84" t="s">
        <v>137</v>
      </c>
      <c r="C122" s="85" t="s">
        <v>65</v>
      </c>
      <c r="D122" s="85"/>
      <c r="E122" s="90">
        <v>6.5069999999999997</v>
      </c>
      <c r="F122" s="90">
        <v>6.4240000000000004</v>
      </c>
      <c r="G122" s="90">
        <v>2.6440000000000001</v>
      </c>
      <c r="H122" s="90">
        <v>4.4039999999999999</v>
      </c>
      <c r="I122" s="90">
        <v>6.2009999999999996</v>
      </c>
      <c r="J122" s="90">
        <v>6.2910000000000004</v>
      </c>
      <c r="K122" s="90">
        <v>5.7370000000000001</v>
      </c>
      <c r="L122" s="90">
        <v>7.5490000000000004</v>
      </c>
      <c r="M122" s="90">
        <v>7.3</v>
      </c>
      <c r="N122" s="134">
        <v>7.4240000000000004</v>
      </c>
      <c r="O122" s="90"/>
    </row>
    <row r="123" spans="2:15" s="83" customFormat="1" ht="26.25" customHeight="1">
      <c r="B123" s="84" t="s">
        <v>138</v>
      </c>
      <c r="C123" s="85" t="s">
        <v>65</v>
      </c>
      <c r="D123" s="85"/>
      <c r="E123" s="90">
        <v>3.7280000000000002</v>
      </c>
      <c r="F123" s="90">
        <v>4.5380000000000003</v>
      </c>
      <c r="G123" s="90">
        <v>3.0630000000000002</v>
      </c>
      <c r="H123" s="90">
        <v>3.1589999999999998</v>
      </c>
      <c r="I123" s="90">
        <v>3.944</v>
      </c>
      <c r="J123" s="90">
        <v>4.4820000000000002</v>
      </c>
      <c r="K123" s="90">
        <v>5.0999999999999996</v>
      </c>
      <c r="L123" s="90">
        <v>5.3719999999999999</v>
      </c>
      <c r="M123" s="90">
        <v>5.8</v>
      </c>
      <c r="N123" s="134">
        <v>5.4669999999999996</v>
      </c>
      <c r="O123" s="90"/>
    </row>
    <row r="124" spans="2:15" s="83" customFormat="1" ht="16.350000000000001" customHeight="1">
      <c r="B124" s="84" t="s">
        <v>139</v>
      </c>
      <c r="C124" s="85" t="s">
        <v>65</v>
      </c>
      <c r="D124" s="85"/>
      <c r="E124" s="90">
        <v>22.497</v>
      </c>
      <c r="F124" s="90">
        <v>10.742000000000001</v>
      </c>
      <c r="G124" s="90">
        <v>23.09</v>
      </c>
      <c r="H124" s="90">
        <v>1.873</v>
      </c>
      <c r="I124" s="90">
        <v>1</v>
      </c>
      <c r="J124" s="90">
        <v>1.5629999999999999</v>
      </c>
      <c r="K124" s="90">
        <v>9.9879999999999995</v>
      </c>
      <c r="L124" s="90">
        <v>0.45800000000000002</v>
      </c>
      <c r="M124" s="90"/>
      <c r="N124" s="134">
        <v>10.911</v>
      </c>
      <c r="O124" s="90"/>
    </row>
    <row r="125" spans="2:15" s="83" customFormat="1" ht="16.350000000000001" customHeight="1">
      <c r="B125" s="84" t="s">
        <v>140</v>
      </c>
      <c r="C125" s="85" t="s">
        <v>65</v>
      </c>
      <c r="D125" s="85"/>
      <c r="E125" s="90">
        <v>89.563000000000002</v>
      </c>
      <c r="F125" s="90">
        <v>90.325000000000003</v>
      </c>
      <c r="G125" s="90">
        <v>99.116</v>
      </c>
      <c r="H125" s="90">
        <v>17.792999999999999</v>
      </c>
      <c r="I125" s="90">
        <v>109.85899999999999</v>
      </c>
      <c r="J125" s="90">
        <v>113.255</v>
      </c>
      <c r="K125" s="90">
        <v>107.297</v>
      </c>
      <c r="L125" s="90">
        <v>106.90900000000001</v>
      </c>
      <c r="M125" s="90">
        <v>117.7</v>
      </c>
      <c r="N125" s="134">
        <v>122.258</v>
      </c>
      <c r="O125" s="90"/>
    </row>
    <row r="126" spans="2:15" s="83" customFormat="1" ht="18" customHeight="1">
      <c r="B126" s="84" t="s">
        <v>141</v>
      </c>
      <c r="C126" s="85" t="s">
        <v>65</v>
      </c>
      <c r="D126" s="85"/>
      <c r="E126" s="90">
        <v>8.8829999999999991</v>
      </c>
      <c r="F126" s="90">
        <v>49.953000000000003</v>
      </c>
      <c r="G126" s="90">
        <v>103.06399999999999</v>
      </c>
      <c r="H126" s="90">
        <v>99.447999999999993</v>
      </c>
      <c r="I126" s="90">
        <v>97.903000000000006</v>
      </c>
      <c r="J126" s="90">
        <v>134.29</v>
      </c>
      <c r="K126" s="90">
        <v>181.33</v>
      </c>
      <c r="L126" s="90">
        <v>189.49700000000001</v>
      </c>
      <c r="M126" s="90">
        <v>186.7</v>
      </c>
      <c r="N126" s="134">
        <v>238.84700000000001</v>
      </c>
      <c r="O126" s="90"/>
    </row>
    <row r="127" spans="2:15" s="83" customFormat="1" ht="16.350000000000001" customHeight="1">
      <c r="B127" s="84" t="s">
        <v>142</v>
      </c>
      <c r="C127" s="85" t="s">
        <v>65</v>
      </c>
      <c r="D127" s="85"/>
      <c r="E127" s="90">
        <v>221.88200000000001</v>
      </c>
      <c r="F127" s="90">
        <v>218.703</v>
      </c>
      <c r="G127" s="90">
        <v>220.351</v>
      </c>
      <c r="H127" s="90">
        <v>224.697</v>
      </c>
      <c r="I127" s="90">
        <v>221.27799999999999</v>
      </c>
      <c r="J127" s="90">
        <v>228.017</v>
      </c>
      <c r="K127" s="90">
        <v>233.184</v>
      </c>
      <c r="L127" s="90">
        <v>227.21700000000001</v>
      </c>
      <c r="M127" s="90">
        <v>234.4</v>
      </c>
      <c r="N127" s="134">
        <v>246.62299999999999</v>
      </c>
      <c r="O127" s="90"/>
    </row>
    <row r="128" spans="2:15" s="83" customFormat="1" ht="16.350000000000001" customHeight="1">
      <c r="B128" s="84" t="s">
        <v>143</v>
      </c>
      <c r="C128" s="85" t="s">
        <v>65</v>
      </c>
      <c r="D128" s="85"/>
      <c r="E128" s="90">
        <v>88.414000000000001</v>
      </c>
      <c r="F128" s="90">
        <v>83.727000000000004</v>
      </c>
      <c r="G128" s="90">
        <v>84.528000000000006</v>
      </c>
      <c r="H128" s="90">
        <v>83.269000000000005</v>
      </c>
      <c r="I128" s="90">
        <v>90</v>
      </c>
      <c r="J128" s="90">
        <v>87.2</v>
      </c>
      <c r="K128" s="90">
        <v>84.629000000000005</v>
      </c>
      <c r="L128" s="90">
        <v>71.415999999999997</v>
      </c>
      <c r="M128" s="90">
        <v>101.3</v>
      </c>
      <c r="N128" s="134">
        <v>111.182</v>
      </c>
      <c r="O128" s="90"/>
    </row>
    <row r="129" spans="2:15" s="83" customFormat="1" ht="15.75" customHeight="1">
      <c r="B129" s="84" t="s">
        <v>144</v>
      </c>
      <c r="C129" s="85" t="s">
        <v>65</v>
      </c>
      <c r="D129" s="85"/>
      <c r="E129" s="90">
        <v>259.01299999999998</v>
      </c>
      <c r="F129" s="90">
        <v>267.48700000000002</v>
      </c>
      <c r="G129" s="90">
        <v>263.34500000000003</v>
      </c>
      <c r="H129" s="90">
        <v>291.88</v>
      </c>
      <c r="I129" s="90">
        <v>303.23599999999999</v>
      </c>
      <c r="J129" s="90">
        <v>311.65699999999998</v>
      </c>
      <c r="K129" s="90">
        <v>298.15899999999999</v>
      </c>
      <c r="L129" s="90">
        <v>323.13799999999998</v>
      </c>
      <c r="M129" s="90">
        <v>339</v>
      </c>
      <c r="N129" s="134">
        <v>432.82400000000001</v>
      </c>
      <c r="O129" s="90"/>
    </row>
    <row r="130" spans="2:15" s="83" customFormat="1" ht="16.350000000000001" customHeight="1">
      <c r="B130" s="84" t="s">
        <v>145</v>
      </c>
      <c r="C130" s="85" t="s">
        <v>65</v>
      </c>
      <c r="D130" s="85"/>
      <c r="E130" s="90">
        <v>1526.163</v>
      </c>
      <c r="F130" s="90">
        <v>1496.49</v>
      </c>
      <c r="G130" s="90">
        <v>1504.904</v>
      </c>
      <c r="H130" s="90">
        <v>1590.598</v>
      </c>
      <c r="I130" s="90">
        <v>1667.768</v>
      </c>
      <c r="J130" s="90">
        <v>1626.4459999999999</v>
      </c>
      <c r="K130" s="90">
        <v>1594.729</v>
      </c>
      <c r="L130" s="90">
        <v>1739.433</v>
      </c>
      <c r="M130" s="90">
        <v>1751.2</v>
      </c>
      <c r="N130" s="134">
        <v>1096.1110000000001</v>
      </c>
      <c r="O130" s="90"/>
    </row>
    <row r="131" spans="2:15" s="83" customFormat="1" ht="16.350000000000001" customHeight="1">
      <c r="B131" s="84" t="s">
        <v>146</v>
      </c>
      <c r="C131" s="85" t="s">
        <v>65</v>
      </c>
      <c r="D131" s="85"/>
      <c r="E131" s="90">
        <v>1.98</v>
      </c>
      <c r="F131" s="90">
        <v>1.7649999999999999</v>
      </c>
      <c r="G131" s="90">
        <v>1.65</v>
      </c>
      <c r="H131" s="90">
        <v>1.6379999999999999</v>
      </c>
      <c r="I131" s="90">
        <v>4.109</v>
      </c>
      <c r="J131" s="90">
        <v>4.5819999999999999</v>
      </c>
      <c r="K131" s="90">
        <v>5.18</v>
      </c>
      <c r="L131" s="90">
        <v>4.2519999999999998</v>
      </c>
      <c r="M131" s="90">
        <v>5</v>
      </c>
      <c r="N131" s="134">
        <v>4.931</v>
      </c>
      <c r="O131" s="90"/>
    </row>
  </sheetData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H168"/>
  <sheetViews>
    <sheetView zoomScale="85" zoomScaleNormal="85" workbookViewId="0">
      <pane xSplit="3" ySplit="1" topLeftCell="AB2" activePane="bottomRight" state="frozen"/>
      <selection pane="topRight" activeCell="D1" sqref="D1"/>
      <selection pane="bottomLeft" activeCell="A2" sqref="A2"/>
      <selection pane="bottomRight" activeCell="AL27" sqref="AL27"/>
    </sheetView>
  </sheetViews>
  <sheetFormatPr defaultColWidth="8" defaultRowHeight="12.75"/>
  <cols>
    <col min="1" max="1" width="8" style="7"/>
    <col min="2" max="2" width="39.73046875" style="15" customWidth="1"/>
    <col min="3" max="3" width="9" style="15" bestFit="1" customWidth="1"/>
    <col min="4" max="4" width="7.73046875" style="15" customWidth="1"/>
    <col min="5" max="5" width="9.86328125" style="7" bestFit="1" customWidth="1"/>
    <col min="6" max="28" width="8" style="7"/>
    <col min="29" max="29" width="8.1328125" style="7" customWidth="1"/>
    <col min="30" max="16384" width="8" style="7"/>
  </cols>
  <sheetData>
    <row r="1" spans="1:34" s="6" customFormat="1" ht="15.75" customHeight="1" thickBot="1">
      <c r="A1" s="3" t="s">
        <v>4</v>
      </c>
      <c r="B1" s="4"/>
      <c r="C1" s="4" t="s">
        <v>20</v>
      </c>
      <c r="D1" s="4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</row>
    <row r="2" spans="1:34" ht="16.350000000000001" customHeight="1">
      <c r="B2" s="44" t="s">
        <v>111</v>
      </c>
      <c r="C2" s="9" t="s">
        <v>110</v>
      </c>
      <c r="D2" s="37"/>
      <c r="E2" s="64">
        <f>' Физический_ежемесячный'!E7</f>
        <v>227744558.10109997</v>
      </c>
      <c r="F2" s="64">
        <f>' Физический_ежемесячный'!F7</f>
        <v>206887616.76999998</v>
      </c>
      <c r="G2" s="64">
        <f>' Физический_ежемесячный'!G7</f>
        <v>203639244.67000002</v>
      </c>
      <c r="H2" s="64">
        <f>' Физический_ежемесячный'!H7</f>
        <v>200644111.35999995</v>
      </c>
      <c r="I2" s="64">
        <f>' Физический_ежемесячный'!I7</f>
        <v>215482320.75</v>
      </c>
      <c r="J2" s="64">
        <f>' Физический_ежемесячный'!J7</f>
        <v>218106299.38</v>
      </c>
      <c r="K2" s="64">
        <f>' Физический_ежемесячный'!K7</f>
        <v>243328106.37</v>
      </c>
      <c r="L2" s="64">
        <f>' Физический_ежемесячный'!L7</f>
        <v>248277212.83000004</v>
      </c>
      <c r="M2" s="64">
        <f>' Физический_ежемесячный'!M7</f>
        <v>229832231.44120002</v>
      </c>
      <c r="N2" s="64">
        <f>' Физический_ежемесячный'!N7</f>
        <v>233389196.87440002</v>
      </c>
      <c r="O2" s="64">
        <f>' Физический_ежемесячный'!O7</f>
        <v>248220331.84999996</v>
      </c>
      <c r="P2" s="64">
        <f>' Физический_ежемесячный'!P7</f>
        <v>284202062.37000006</v>
      </c>
      <c r="Q2" s="64">
        <f>' Физический_ежемесячный'!Q7</f>
        <v>277521043.20000005</v>
      </c>
      <c r="R2" s="64">
        <f>' Физический_ежемесячный'!R7</f>
        <v>253405215.95000005</v>
      </c>
      <c r="S2" s="64">
        <f>' Физический_ежемесячный'!S7</f>
        <v>224166536.05000004</v>
      </c>
      <c r="T2" s="64">
        <f>' Физический_ежемесячный'!T7</f>
        <v>227282925.07999995</v>
      </c>
      <c r="U2" s="64">
        <f>' Физический_ежемесячный'!U7</f>
        <v>252796856.75</v>
      </c>
      <c r="V2" s="64">
        <f>' Физический_ежемесячный'!V7</f>
        <v>255287504.87</v>
      </c>
      <c r="W2" s="64">
        <f>' Физический_ежемесячный'!W7</f>
        <v>284438789.01799995</v>
      </c>
      <c r="X2" s="64">
        <f>' Физический_ежемесячный'!X7</f>
        <v>298744712.57080007</v>
      </c>
      <c r="Y2" s="64">
        <f>' Физический_ежемесячный'!Y7</f>
        <v>273391467.45970005</v>
      </c>
      <c r="Z2" s="64">
        <f>' Физический_ежемесячный'!Z7</f>
        <v>284017877.44199997</v>
      </c>
      <c r="AA2" s="64">
        <f>' Физический_ежемесячный'!AA7</f>
        <v>302301279.12159997</v>
      </c>
      <c r="AB2" s="64">
        <f>' Физический_ежемесячный'!AB7</f>
        <v>323603318.87070006</v>
      </c>
      <c r="AC2" s="64">
        <v>321363652.4205001</v>
      </c>
      <c r="AD2" s="64">
        <v>308206452.94199997</v>
      </c>
      <c r="AE2" s="64">
        <v>292288845.50660002</v>
      </c>
      <c r="AF2" s="64">
        <f>' Физический_ежемесячный'!AF7</f>
        <v>282985298.5097</v>
      </c>
      <c r="AG2" s="64">
        <f>' Физический_ежемесячный'!AG7</f>
        <v>336633625.31809986</v>
      </c>
      <c r="AH2" s="64">
        <f>' Физический_ежемесячный'!AH7</f>
        <v>347400585.4696002</v>
      </c>
    </row>
    <row r="3" spans="1:34" ht="16.350000000000001" customHeight="1">
      <c r="B3" s="40" t="s">
        <v>112</v>
      </c>
      <c r="C3" s="9" t="s">
        <v>110</v>
      </c>
      <c r="D3" s="39"/>
      <c r="E3" s="64">
        <f>' Физический_ежемесячный'!E8</f>
        <v>1017074</v>
      </c>
      <c r="F3" s="64">
        <f>' Физический_ежемесячный'!F8</f>
        <v>246204</v>
      </c>
      <c r="G3" s="64">
        <f>' Физический_ежемесячный'!G8</f>
        <v>2539158.4</v>
      </c>
      <c r="H3" s="64">
        <f>' Физический_ежемесячный'!H8</f>
        <v>3903742.8</v>
      </c>
      <c r="I3" s="64">
        <f>' Физический_ежемесячный'!I8</f>
        <v>605849.73000000045</v>
      </c>
      <c r="J3" s="64">
        <f>' Физический_ежемесячный'!J8</f>
        <v>-2573548.7100000009</v>
      </c>
      <c r="K3" s="64">
        <f>' Физический_ежемесячный'!K8</f>
        <v>614114.73000000045</v>
      </c>
      <c r="L3" s="64">
        <f>' Физический_ежемесячный'!L8</f>
        <v>434483.26999999955</v>
      </c>
      <c r="M3" s="64">
        <f>' Физический_ежемесячный'!M8</f>
        <v>585582.55000000075</v>
      </c>
      <c r="N3" s="64">
        <f>' Физический_ежемесячный'!N8</f>
        <v>884865.73000000045</v>
      </c>
      <c r="O3" s="64">
        <f>' Физический_ежемесячный'!O8</f>
        <v>774647.1799999997</v>
      </c>
      <c r="P3" s="64">
        <f>' Физический_ежемесячный'!P8</f>
        <v>865495.3599999994</v>
      </c>
      <c r="Q3" s="64">
        <f>' Физический_ежемесячный'!Q8</f>
        <v>706115.26999999955</v>
      </c>
      <c r="R3" s="64">
        <f>' Физический_ежемесячный'!R8</f>
        <v>659839.1799999997</v>
      </c>
      <c r="S3" s="64">
        <f>' Физический_ежемесячный'!S8</f>
        <v>714582.36359999981</v>
      </c>
      <c r="T3" s="64">
        <f>' Физический_ежемесячный'!T8</f>
        <v>638704.08999999985</v>
      </c>
      <c r="U3" s="64">
        <f>' Физический_ежемесячный'!U8</f>
        <v>320309.54549999908</v>
      </c>
      <c r="V3" s="64">
        <f>' Физический_ежемесячный'!V8</f>
        <v>612775.09008999914</v>
      </c>
      <c r="W3" s="64">
        <f>' Физический_ежемесячный'!W8</f>
        <v>884770.81799999997</v>
      </c>
      <c r="X3" s="64">
        <f>' Физический_ежемесячный'!X8</f>
        <v>758352.54549999908</v>
      </c>
      <c r="Y3" s="64">
        <f>' Физический_ежемесячный'!Y8</f>
        <v>711202.90919999965</v>
      </c>
      <c r="Z3" s="64">
        <f>' Физический_ежемесячный'!Z8</f>
        <v>691312.90000000037</v>
      </c>
      <c r="AA3" s="64">
        <f>' Физический_ежемесячный'!AA8</f>
        <v>1395158.4545999998</v>
      </c>
      <c r="AB3" s="64">
        <f>' Физический_ежемесячный'!AB8</f>
        <v>806634</v>
      </c>
      <c r="AC3" s="64">
        <v>839094.27270000009</v>
      </c>
      <c r="AD3" s="64">
        <v>759525.98</v>
      </c>
      <c r="AE3" s="64">
        <v>1591054.4453999996</v>
      </c>
      <c r="AF3" s="64">
        <f>' Физический_ежемесячный'!AF8</f>
        <v>350144.88189999992</v>
      </c>
      <c r="AG3" s="64">
        <f>' Физический_ежемесячный'!AG8</f>
        <v>753870.36369999964</v>
      </c>
      <c r="AH3" s="64">
        <f>' Физический_ежемесячный'!AH8</f>
        <v>642217.36360000074</v>
      </c>
    </row>
    <row r="4" spans="1:34" ht="16.350000000000001" customHeight="1">
      <c r="B4" s="40" t="s">
        <v>113</v>
      </c>
      <c r="C4" s="9" t="s">
        <v>110</v>
      </c>
      <c r="D4" s="39"/>
      <c r="E4" s="64">
        <f>' Физический_ежемесячный'!E9</f>
        <v>2915733.1124</v>
      </c>
      <c r="F4" s="64">
        <f>' Физический_ежемесячный'!F9</f>
        <v>2424314.94</v>
      </c>
      <c r="G4" s="64">
        <f>' Физический_ежемесячный'!G9</f>
        <v>1707546.2</v>
      </c>
      <c r="H4" s="64">
        <f>' Физический_ежемесячный'!H9</f>
        <v>1227051.28</v>
      </c>
      <c r="I4" s="64">
        <f>' Физический_ежемесячный'!I9</f>
        <v>1072725.1299999999</v>
      </c>
      <c r="J4" s="64">
        <f>' Физический_ежемесячный'!J9</f>
        <v>1206473.02</v>
      </c>
      <c r="K4" s="64">
        <f>' Физический_ежемесячный'!K9</f>
        <v>2315487.25</v>
      </c>
      <c r="L4" s="64">
        <f>' Физический_ежемесячный'!L9</f>
        <v>953878.36</v>
      </c>
      <c r="M4" s="64">
        <f>' Физический_ежемесячный'!M9</f>
        <v>1044208.44</v>
      </c>
      <c r="N4" s="64">
        <f>' Физический_ежемесячный'!N9</f>
        <v>1043061.96</v>
      </c>
      <c r="O4" s="64">
        <f>' Физический_ежемесячный'!O9</f>
        <v>1902058.57</v>
      </c>
      <c r="P4" s="64">
        <f>' Физический_ежемесячный'!P9</f>
        <v>2196219.2400000002</v>
      </c>
      <c r="Q4" s="64">
        <f>' Физический_ежемесячный'!Q9</f>
        <v>1843028.76</v>
      </c>
      <c r="R4" s="64">
        <f>' Физический_ежемесячный'!R9</f>
        <v>2280997.0300000003</v>
      </c>
      <c r="S4" s="64">
        <f>' Физический_ежемесячный'!S9</f>
        <v>1368981.3900000001</v>
      </c>
      <c r="T4" s="64">
        <f>' Физический_ежемесячный'!T9</f>
        <v>1195443.31</v>
      </c>
      <c r="U4" s="64">
        <f>' Физический_ежемесячный'!U9</f>
        <v>1063413.19</v>
      </c>
      <c r="V4" s="64">
        <f>' Физический_ежемесячный'!V9</f>
        <v>1014535</v>
      </c>
      <c r="W4" s="64">
        <f>' Физический_ежемесячный'!W9</f>
        <v>1194590.31</v>
      </c>
      <c r="X4" s="64">
        <f>' Физический_ежемесячный'!X9</f>
        <v>1174687.8999999999</v>
      </c>
      <c r="Y4" s="64">
        <f>' Физический_ежемесячный'!Y9</f>
        <v>1113369.1499999999</v>
      </c>
      <c r="Z4" s="64">
        <f>' Физический_ежемесячный'!Z9</f>
        <v>1439129.03</v>
      </c>
      <c r="AA4" s="64">
        <f>' Физический_ежемесячный'!AA9</f>
        <v>1877230.26</v>
      </c>
      <c r="AB4" s="64">
        <f>' Физический_ежемесячный'!AB9</f>
        <v>2613827.62</v>
      </c>
      <c r="AC4" s="64">
        <v>2616387.4299999997</v>
      </c>
      <c r="AD4" s="64">
        <v>2484663.2039999999</v>
      </c>
      <c r="AE4" s="64">
        <v>1568820.6330000001</v>
      </c>
      <c r="AF4" s="64">
        <f>' Физический_ежемесячный'!AF9</f>
        <v>1167110.8530000001</v>
      </c>
      <c r="AG4" s="64">
        <f>' Физический_ежемесячный'!AG9</f>
        <v>1359876.166</v>
      </c>
      <c r="AH4" s="64">
        <f>' Физический_ежемесячный'!AH9</f>
        <v>1105592.25</v>
      </c>
    </row>
    <row r="5" spans="1:34" ht="16.350000000000001" customHeight="1">
      <c r="B5" s="40" t="s">
        <v>114</v>
      </c>
      <c r="C5" s="9" t="s">
        <v>110</v>
      </c>
      <c r="D5" s="39"/>
      <c r="E5" s="64">
        <f>' Физический_ежемесячный'!E10</f>
        <v>93097696.409999996</v>
      </c>
      <c r="F5" s="64">
        <f>' Физический_ежемесячный'!F10</f>
        <v>65386672.289999999</v>
      </c>
      <c r="G5" s="64">
        <f>' Физический_ежемесячный'!G10</f>
        <v>56038112.489999995</v>
      </c>
      <c r="H5" s="64">
        <f>' Физический_ежемесячный'!H10</f>
        <v>35417602.770000003</v>
      </c>
      <c r="I5" s="64">
        <f>' Физический_ежемесячный'!I10</f>
        <v>35348194.479999997</v>
      </c>
      <c r="J5" s="64">
        <f>' Физический_ежемесячный'!J10</f>
        <v>38659482.080000006</v>
      </c>
      <c r="K5" s="64">
        <f>' Физический_ежемесячный'!K10</f>
        <v>40480338.43</v>
      </c>
      <c r="L5" s="64">
        <f>' Физический_ежемесячный'!L10</f>
        <v>38135441.630000003</v>
      </c>
      <c r="M5" s="64">
        <f>' Физический_ежемесячный'!M10</f>
        <v>36720075.872000001</v>
      </c>
      <c r="N5" s="64">
        <f>' Физический_ежемесячный'!N10</f>
        <v>39275639.280000001</v>
      </c>
      <c r="O5" s="64">
        <f>' Физический_ежемесячный'!O10</f>
        <v>56189873.75999999</v>
      </c>
      <c r="P5" s="64">
        <f>' Физический_ежемесячный'!P10</f>
        <v>71929789.879999995</v>
      </c>
      <c r="Q5" s="64">
        <f>' Физический_ежемесячный'!Q10</f>
        <v>73634503.409999996</v>
      </c>
      <c r="R5" s="64">
        <f>' Физический_ежемесячный'!R10</f>
        <v>75743670.139999986</v>
      </c>
      <c r="S5" s="64">
        <f>' Физический_ежемесячный'!S10</f>
        <v>56023240.959999993</v>
      </c>
      <c r="T5" s="64">
        <f>' Физический_ежемесячный'!T10</f>
        <v>40007971.799999997</v>
      </c>
      <c r="U5" s="64">
        <f>' Физический_ежемесячный'!U10</f>
        <v>40072005</v>
      </c>
      <c r="V5" s="64">
        <f>' Физический_ежемесячный'!V10</f>
        <v>39756947.890000001</v>
      </c>
      <c r="W5" s="64">
        <f>' Физический_ежемесячный'!W10</f>
        <v>42840453.776999995</v>
      </c>
      <c r="X5" s="64">
        <f>' Физический_ежемесячный'!X10</f>
        <v>45055964.497300006</v>
      </c>
      <c r="Y5" s="64">
        <f>' Физический_ежемесячный'!Y10</f>
        <v>38820433.777000003</v>
      </c>
      <c r="Z5" s="64">
        <f>' Физический_ежемесячный'!Z10</f>
        <v>44165708.979999997</v>
      </c>
      <c r="AA5" s="64">
        <f>' Физический_ежемесячный'!AA10</f>
        <v>61852648.020499997</v>
      </c>
      <c r="AB5" s="64">
        <f>' Физический_ежемесячный'!AB10</f>
        <v>77770223.990199998</v>
      </c>
      <c r="AC5" s="64">
        <v>85828871.453099996</v>
      </c>
      <c r="AD5" s="64">
        <v>70683613.091999993</v>
      </c>
      <c r="AE5" s="64">
        <v>67656138.863000005</v>
      </c>
      <c r="AF5" s="64">
        <f>' Физический_ежемесячный'!AF10</f>
        <v>42339780.035900004</v>
      </c>
      <c r="AG5" s="64">
        <f>' Физический_ежемесячный'!AG10</f>
        <v>40486575.288099997</v>
      </c>
      <c r="AH5" s="64">
        <f>' Физический_ежемесячный'!AH10</f>
        <v>45911130.129699998</v>
      </c>
    </row>
    <row r="6" spans="1:34" ht="16.350000000000001" customHeight="1">
      <c r="B6" s="40" t="s">
        <v>85</v>
      </c>
      <c r="C6" s="9" t="s">
        <v>110</v>
      </c>
      <c r="D6" s="39"/>
      <c r="E6" s="64">
        <f>' Физический_ежемесячный'!E11</f>
        <v>18198270.600000001</v>
      </c>
      <c r="F6" s="64">
        <f>' Физический_ежемесячный'!F11</f>
        <v>14315692.800000001</v>
      </c>
      <c r="G6" s="64">
        <f>' Физический_ежемесячный'!G11</f>
        <v>46294442</v>
      </c>
      <c r="H6" s="64">
        <f>' Физический_ежемесячный'!H11</f>
        <v>217803941.32999998</v>
      </c>
      <c r="I6" s="64">
        <f>' Физический_ежемесячный'!I11</f>
        <v>299513713.80000001</v>
      </c>
      <c r="J6" s="64">
        <f>' Физический_ежемесячный'!J11</f>
        <v>370753819.30000001</v>
      </c>
      <c r="K6" s="64">
        <f>' Физический_ежемесячный'!K11</f>
        <v>396854327.28999996</v>
      </c>
      <c r="L6" s="64">
        <f>' Физический_ежемесячный'!L11</f>
        <v>356585721</v>
      </c>
      <c r="M6" s="64">
        <f>' Физический_ежемесячный'!M11</f>
        <v>269738144.60000002</v>
      </c>
      <c r="N6" s="64">
        <f>' Физический_ежемесячный'!N11</f>
        <v>40334051.079999998</v>
      </c>
      <c r="O6" s="64">
        <f>' Физический_ежемесячный'!O11</f>
        <v>25132816.600000001</v>
      </c>
      <c r="P6" s="64">
        <f>' Физический_ежемесячный'!P11</f>
        <v>25773216.800000001</v>
      </c>
      <c r="Q6" s="64">
        <f>' Физический_ежемесячный'!Q11</f>
        <v>19907117.609999999</v>
      </c>
      <c r="R6" s="64">
        <f>' Физический_ежемесячный'!R11</f>
        <v>25848911.890000001</v>
      </c>
      <c r="S6" s="64">
        <f>' Физический_ежемесячный'!S11</f>
        <v>14710775.800000001</v>
      </c>
      <c r="T6" s="64">
        <f>' Физический_ежемесячный'!T11</f>
        <v>108459389.2</v>
      </c>
      <c r="U6" s="64">
        <f>' Физический_ежемесячный'!U11</f>
        <v>236908830.74000001</v>
      </c>
      <c r="V6" s="64">
        <f>' Физический_ежемесячный'!V11</f>
        <v>283002690</v>
      </c>
      <c r="W6" s="64">
        <f>' Физический_ежемесячный'!W11</f>
        <v>324487900.81999999</v>
      </c>
      <c r="X6" s="64">
        <f>' Физический_ежемесячный'!X11</f>
        <v>349332419</v>
      </c>
      <c r="Y6" s="64">
        <f>' Физический_ежемесячный'!Y11</f>
        <v>210700778.36000001</v>
      </c>
      <c r="Z6" s="64">
        <f>' Физический_ежемесячный'!Z11</f>
        <v>48495745.979999997</v>
      </c>
      <c r="AA6" s="64">
        <f>' Физический_ежемесячный'!AA11</f>
        <v>19411069.940000001</v>
      </c>
      <c r="AB6" s="64">
        <f>' Физический_ежемесячный'!AB11</f>
        <v>11665700.6</v>
      </c>
      <c r="AC6" s="64">
        <v>16091620.039999999</v>
      </c>
      <c r="AD6" s="64">
        <v>15120745.300000001</v>
      </c>
      <c r="AE6" s="64">
        <v>33170412.690000001</v>
      </c>
      <c r="AF6" s="64">
        <f>' Физический_ежемесячный'!AF11</f>
        <v>155642806.45999998</v>
      </c>
      <c r="AG6" s="64">
        <f>' Физический_ежемесячный'!AG11</f>
        <v>334778057.70999998</v>
      </c>
      <c r="AH6" s="64">
        <f>' Физический_ежемесячный'!AH11</f>
        <v>364418475.24000001</v>
      </c>
    </row>
    <row r="7" spans="1:34" ht="16.350000000000001" customHeight="1">
      <c r="B7" s="40" t="s">
        <v>115</v>
      </c>
      <c r="C7" s="9" t="s">
        <v>110</v>
      </c>
      <c r="D7" s="39"/>
      <c r="E7" s="64">
        <f>' Физический_ежемесячный'!E12</f>
        <v>75241240.460000008</v>
      </c>
      <c r="F7" s="64">
        <f>' Физический_ежемесячный'!F12</f>
        <v>54065216.079999998</v>
      </c>
      <c r="G7" s="64">
        <f>' Физический_ежемесячный'!G12</f>
        <v>56868185.239999995</v>
      </c>
      <c r="H7" s="64">
        <f>' Физический_ежемесячный'!H12</f>
        <v>42361449.269999996</v>
      </c>
      <c r="I7" s="64">
        <f>' Физический_ежемесячный'!I12</f>
        <v>59492908.480000004</v>
      </c>
      <c r="J7" s="64">
        <f>' Физический_ежемесячный'!J12</f>
        <v>51036942.179999992</v>
      </c>
      <c r="K7" s="64">
        <f>' Физический_ежемесячный'!K12</f>
        <v>50485299.170000002</v>
      </c>
      <c r="L7" s="64">
        <f>' Физический_ежемесячный'!L12</f>
        <v>59118047.420000002</v>
      </c>
      <c r="M7" s="64">
        <f>' Физический_ежемесячный'!M12</f>
        <v>44681484.920000002</v>
      </c>
      <c r="N7" s="64">
        <f>' Физический_ежемесячный'!N12</f>
        <v>45121617.969999999</v>
      </c>
      <c r="O7" s="64">
        <f>' Физический_ежемесячный'!O12</f>
        <v>61822604.190000005</v>
      </c>
      <c r="P7" s="64">
        <f>' Физический_ежемесячный'!P12</f>
        <v>48327903.25</v>
      </c>
      <c r="Q7" s="64">
        <f>' Физический_ежемесячный'!Q12</f>
        <v>54822523.149999999</v>
      </c>
      <c r="R7" s="64">
        <f>' Физический_ежемесячный'!R12</f>
        <v>55628143.509999998</v>
      </c>
      <c r="S7" s="64">
        <f>' Физический_ежемесячный'!S12</f>
        <v>46682009.109999999</v>
      </c>
      <c r="T7" s="64">
        <f>' Физический_ежемесячный'!T12</f>
        <v>44694834.949999996</v>
      </c>
      <c r="U7" s="64">
        <f>' Физический_ежемесячный'!U12</f>
        <v>44849324.32</v>
      </c>
      <c r="V7" s="64">
        <f>' Физический_ежемесячный'!V12</f>
        <v>57789528.100000001</v>
      </c>
      <c r="W7" s="64">
        <f>' Физический_ежемесячный'!W12</f>
        <v>63680096.719999999</v>
      </c>
      <c r="X7" s="64">
        <f>' Физический_ежемесячный'!X12</f>
        <v>59570226.516000003</v>
      </c>
      <c r="Y7" s="64">
        <f>' Физический_ежемесячный'!Y12</f>
        <v>51721368.147</v>
      </c>
      <c r="Z7" s="64">
        <f>' Физический_ежемесячный'!Z12</f>
        <v>54452750.294</v>
      </c>
      <c r="AA7" s="64">
        <f>' Физический_ежемесячный'!AA12</f>
        <v>62680761.970000006</v>
      </c>
      <c r="AB7" s="64">
        <f>' Физический_ежемесячный'!AB12</f>
        <v>69344600.961999997</v>
      </c>
      <c r="AC7" s="64">
        <v>66045684.145999998</v>
      </c>
      <c r="AD7" s="64">
        <v>48391930.323000006</v>
      </c>
      <c r="AE7" s="64">
        <v>54009111.345999993</v>
      </c>
      <c r="AF7" s="64">
        <f>' Физический_ежемесячный'!AF12</f>
        <v>35014450.952</v>
      </c>
      <c r="AG7" s="64">
        <f>' Физический_ежемесячный'!AG12</f>
        <v>35134182.332999997</v>
      </c>
      <c r="AH7" s="64">
        <f>' Физический_ежемесячный'!AH12</f>
        <v>42715721.157000005</v>
      </c>
    </row>
    <row r="8" spans="1:34" ht="16.350000000000001" customHeight="1">
      <c r="B8" s="40" t="s">
        <v>116</v>
      </c>
      <c r="C8" s="9" t="s">
        <v>110</v>
      </c>
      <c r="D8" s="39"/>
      <c r="E8" s="64">
        <f>' Физический_ежемесячный'!E13</f>
        <v>15474787</v>
      </c>
      <c r="F8" s="64">
        <f>' Физический_ежемесячный'!F13</f>
        <v>7657110</v>
      </c>
      <c r="G8" s="64">
        <f>' Физический_ежемесячный'!G13</f>
        <v>20501330</v>
      </c>
      <c r="H8" s="64">
        <f>' Физический_ежемесячный'!H13</f>
        <v>12854566</v>
      </c>
      <c r="I8" s="64">
        <f>' Физический_ежемесячный'!I13</f>
        <v>24268466</v>
      </c>
      <c r="J8" s="64">
        <f>' Физический_ежемесячный'!J13</f>
        <v>35326210</v>
      </c>
      <c r="K8" s="64">
        <f>' Физический_ежемесячный'!K13</f>
        <v>38143766</v>
      </c>
      <c r="L8" s="64">
        <f>' Физический_ежемесячный'!L13</f>
        <v>25783042</v>
      </c>
      <c r="M8" s="64">
        <f>' Физический_ежемесячный'!M13</f>
        <v>19446802</v>
      </c>
      <c r="N8" s="64">
        <f>' Физический_ежемесячный'!N13</f>
        <v>9456863</v>
      </c>
      <c r="O8" s="64">
        <f>' Физический_ежемесячный'!O13</f>
        <v>7824866</v>
      </c>
      <c r="P8" s="64">
        <f>' Физический_ежемесячный'!P13</f>
        <v>12820333</v>
      </c>
      <c r="Q8" s="64">
        <f>' Физический_ежемесячный'!Q13</f>
        <v>12423653.09</v>
      </c>
      <c r="R8" s="64">
        <f>' Физический_ежемесячный'!R13</f>
        <v>8033740.5</v>
      </c>
      <c r="S8" s="64">
        <f>' Физический_ежемесячный'!S13</f>
        <v>8606665</v>
      </c>
      <c r="T8" s="64">
        <f>' Физический_ежемесячный'!T13</f>
        <v>21396398</v>
      </c>
      <c r="U8" s="64">
        <f>' Физический_ежемесячный'!U13</f>
        <v>57961781</v>
      </c>
      <c r="V8" s="64">
        <f>' Физический_ежемесячный'!V13</f>
        <v>105329493</v>
      </c>
      <c r="W8" s="64">
        <f>' Физический_ежемесячный'!W13</f>
        <v>115068208</v>
      </c>
      <c r="X8" s="64">
        <f>' Физический_ежемесячный'!X13</f>
        <v>60602428</v>
      </c>
      <c r="Y8" s="64">
        <f>' Физический_ежемесячный'!Y13</f>
        <v>39754138</v>
      </c>
      <c r="Z8" s="64">
        <f>' Физический_ежемесячный'!Z13</f>
        <v>16090448.629999999</v>
      </c>
      <c r="AA8" s="64">
        <f>' Физический_ежемесячный'!AA13</f>
        <v>10691279</v>
      </c>
      <c r="AB8" s="64">
        <f>' Физический_ежемесячный'!AB13</f>
        <v>13327065</v>
      </c>
      <c r="AC8" s="64">
        <v>11104826</v>
      </c>
      <c r="AD8" s="64">
        <v>11480067.34</v>
      </c>
      <c r="AE8" s="64">
        <v>20794960.594419673</v>
      </c>
      <c r="AF8" s="64">
        <f>' Физический_ежемесячный'!AF13</f>
        <v>13920375.35</v>
      </c>
      <c r="AG8" s="64">
        <f>' Физический_ежемесячный'!AG13</f>
        <v>11492762</v>
      </c>
      <c r="AH8" s="64">
        <f>' Физический_ежемесячный'!AH13</f>
        <v>6913869.0899999999</v>
      </c>
    </row>
    <row r="9" spans="1:34" ht="16.350000000000001" customHeight="1">
      <c r="B9" s="40" t="s">
        <v>117</v>
      </c>
      <c r="C9" s="9" t="s">
        <v>110</v>
      </c>
      <c r="D9" s="39"/>
      <c r="E9" s="64">
        <f>' Физический_ежемесячный'!E14</f>
        <v>145236168</v>
      </c>
      <c r="F9" s="64">
        <f>' Физический_ежемесячный'!F14</f>
        <v>129472992</v>
      </c>
      <c r="G9" s="64">
        <f>' Физический_ежемесячный'!G14</f>
        <v>139131093</v>
      </c>
      <c r="H9" s="64">
        <f>' Физический_ежемесячный'!H14</f>
        <v>134681429</v>
      </c>
      <c r="I9" s="64">
        <f>' Физический_ежемесячный'!I14</f>
        <v>141371385</v>
      </c>
      <c r="J9" s="64">
        <f>' Физический_ежемесячный'!J14</f>
        <v>137855336</v>
      </c>
      <c r="K9" s="64">
        <f>' Физический_ежемесячный'!K14</f>
        <v>145665716</v>
      </c>
      <c r="L9" s="64">
        <f>' Физический_ежемесячный'!L14</f>
        <v>150318925</v>
      </c>
      <c r="M9" s="64">
        <f>' Физический_ежемесячный'!M14</f>
        <v>146860330</v>
      </c>
      <c r="N9" s="64">
        <f>' Физический_ежемесячный'!N14</f>
        <v>153010288.12</v>
      </c>
      <c r="O9" s="64">
        <f>' Физический_ежемесячный'!O14</f>
        <v>149771612.50999999</v>
      </c>
      <c r="P9" s="64">
        <f>' Физический_ежемесячный'!P14</f>
        <v>158533299</v>
      </c>
      <c r="Q9" s="64">
        <f>' Физический_ежемесячный'!Q14</f>
        <v>162707398.66999999</v>
      </c>
      <c r="R9" s="64">
        <f>' Физический_ежемесячный'!R14</f>
        <v>154388757</v>
      </c>
      <c r="S9" s="64">
        <f>' Физический_ежемесячный'!S14</f>
        <v>164476146.72999999</v>
      </c>
      <c r="T9" s="64">
        <f>' Физический_ежемесячный'!T14</f>
        <v>159548244.83000001</v>
      </c>
      <c r="U9" s="64">
        <f>' Физический_ежемесячный'!U14</f>
        <v>166562468.84</v>
      </c>
      <c r="V9" s="64">
        <f>' Физический_ежемесячный'!V14</f>
        <v>163173039.04000002</v>
      </c>
      <c r="W9" s="64">
        <f>' Физический_ежемесячный'!W14</f>
        <v>171707607.05000001</v>
      </c>
      <c r="X9" s="64">
        <f>' Физический_ежемесячный'!X14</f>
        <v>174936748.84999999</v>
      </c>
      <c r="Y9" s="64">
        <f>' Физический_ежемесячный'!Y14</f>
        <v>170227406</v>
      </c>
      <c r="Z9" s="64">
        <f>' Физический_ежемесячный'!Z14</f>
        <v>176329081.44999999</v>
      </c>
      <c r="AA9" s="64">
        <f>' Физический_ежемесячный'!AA14</f>
        <v>176985424</v>
      </c>
      <c r="AB9" s="64">
        <f>' Физический_ежемесячный'!AB14</f>
        <v>196717436</v>
      </c>
      <c r="AC9" s="64">
        <v>203941315</v>
      </c>
      <c r="AD9" s="64">
        <v>185319821</v>
      </c>
      <c r="AE9" s="64">
        <v>205862586</v>
      </c>
      <c r="AF9" s="64">
        <f>' Физический_ежемесячный'!AF14</f>
        <v>198381413</v>
      </c>
      <c r="AG9" s="64">
        <f>' Физический_ежемесячный'!AG14</f>
        <v>201225943.22</v>
      </c>
      <c r="AH9" s="64">
        <f>' Физический_ежемесячный'!AH14</f>
        <v>188617853.13</v>
      </c>
    </row>
    <row r="10" spans="1:34" ht="16.350000000000001" customHeight="1">
      <c r="B10" s="40" t="s">
        <v>118</v>
      </c>
      <c r="C10" s="9" t="s">
        <v>110</v>
      </c>
      <c r="D10" s="39"/>
      <c r="E10" s="64">
        <f>' Физический_ежемесячный'!E15</f>
        <v>2480113</v>
      </c>
      <c r="F10" s="64">
        <f>' Физический_ежемесячный'!F15</f>
        <v>1733209</v>
      </c>
      <c r="G10" s="64">
        <f>' Физический_ежемесячный'!G15</f>
        <v>1202086</v>
      </c>
      <c r="H10" s="64">
        <f>' Физический_ежемесячный'!H15</f>
        <v>1040154</v>
      </c>
      <c r="I10" s="64">
        <f>' Физический_ежемесячный'!I15</f>
        <v>590707</v>
      </c>
      <c r="J10" s="64">
        <f>' Физический_ежемесячный'!J15</f>
        <v>0</v>
      </c>
      <c r="K10" s="64">
        <f>' Физический_ежемесячный'!K15</f>
        <v>0</v>
      </c>
      <c r="L10" s="64">
        <f>' Физический_ежемесячный'!L15</f>
        <v>408752</v>
      </c>
      <c r="M10" s="64">
        <f>' Физический_ежемесячный'!M15</f>
        <v>0</v>
      </c>
      <c r="N10" s="64">
        <f>' Физический_ежемесячный'!N15</f>
        <v>0</v>
      </c>
      <c r="O10" s="64">
        <f>' Физический_ежемесячный'!O15</f>
        <v>534352</v>
      </c>
      <c r="P10" s="64">
        <f>' Физический_ежемесячный'!P15</f>
        <v>1807819</v>
      </c>
      <c r="Q10" s="64">
        <f>' Физический_ежемесячный'!Q15</f>
        <v>2380405</v>
      </c>
      <c r="R10" s="64">
        <f>' Физический_ежемесячный'!R15</f>
        <v>2383208</v>
      </c>
      <c r="S10" s="64">
        <f>' Физический_ежемесячный'!S15</f>
        <v>1172602</v>
      </c>
      <c r="T10" s="64">
        <f>' Физический_ежемесячный'!T15</f>
        <v>1087907</v>
      </c>
      <c r="U10" s="64">
        <f>' Физический_ежемесячный'!U15</f>
        <v>1494689.1</v>
      </c>
      <c r="V10" s="64">
        <f>' Физический_ежемесячный'!V15</f>
        <v>1371571</v>
      </c>
      <c r="W10" s="64">
        <f>' Физический_ежемесячный'!W15</f>
        <v>1576607</v>
      </c>
      <c r="X10" s="64">
        <f>' Физический_ежемесячный'!X15</f>
        <v>1851827</v>
      </c>
      <c r="Y10" s="64">
        <f>' Физический_ежемесячный'!Y15</f>
        <v>1435405</v>
      </c>
      <c r="Z10" s="64">
        <f>' Физический_ежемесячный'!Z15</f>
        <v>1401676</v>
      </c>
      <c r="AA10" s="64">
        <f>' Физический_ежемесячный'!AA15</f>
        <v>2199821</v>
      </c>
      <c r="AB10" s="64">
        <f>' Физический_ежемесячный'!AB15</f>
        <v>2993785</v>
      </c>
      <c r="AC10" s="64">
        <v>3259925</v>
      </c>
      <c r="AD10" s="64">
        <v>2457165</v>
      </c>
      <c r="AE10" s="64">
        <v>2057307</v>
      </c>
      <c r="AF10" s="64">
        <f>' Физический_ежемесячный'!AF15</f>
        <v>1603013</v>
      </c>
      <c r="AG10" s="64">
        <f>' Физический_ежемесячный'!AG15</f>
        <v>1679001</v>
      </c>
      <c r="AH10" s="64">
        <f>' Физический_ежемесячный'!AH15</f>
        <v>1880385</v>
      </c>
    </row>
    <row r="11" spans="1:34" ht="16.350000000000001" customHeight="1">
      <c r="B11" s="40" t="s">
        <v>101</v>
      </c>
      <c r="C11" s="9" t="s">
        <v>110</v>
      </c>
      <c r="D11" s="39"/>
      <c r="E11" s="64">
        <f>' Физический_ежемесячный'!E16</f>
        <v>0</v>
      </c>
      <c r="F11" s="64">
        <f>' Физический_ежемесячный'!F16</f>
        <v>0</v>
      </c>
      <c r="G11" s="64">
        <f>' Физический_ежемесячный'!G16</f>
        <v>0</v>
      </c>
      <c r="H11" s="64">
        <f>' Физический_ежемесячный'!H16</f>
        <v>0</v>
      </c>
      <c r="I11" s="64">
        <f>' Физический_ежемесячный'!I16</f>
        <v>12981438</v>
      </c>
      <c r="J11" s="64">
        <f>' Физический_ежемесячный'!J16</f>
        <v>22967732</v>
      </c>
      <c r="K11" s="64">
        <f>' Физический_ежемесячный'!K16</f>
        <v>14125408</v>
      </c>
      <c r="L11" s="64">
        <f>' Физический_ежемесячный'!L16</f>
        <v>15879022</v>
      </c>
      <c r="M11" s="64">
        <f>' Физический_ежемесячный'!M16</f>
        <v>13898032</v>
      </c>
      <c r="N11" s="64">
        <f>' Физический_ежемесячный'!N16</f>
        <v>13934624</v>
      </c>
      <c r="O11" s="64">
        <f>' Физический_ежемесячный'!O16</f>
        <v>14633696</v>
      </c>
      <c r="P11" s="64">
        <f>' Физический_ежемесячный'!P16</f>
        <v>8713344</v>
      </c>
      <c r="Q11" s="64">
        <f>' Физический_ежемесячный'!Q16</f>
        <v>3988088</v>
      </c>
      <c r="R11" s="64">
        <f>' Физический_ежемесячный'!R16</f>
        <v>6108810</v>
      </c>
      <c r="S11" s="64">
        <f>' Физический_ежемесячный'!S16</f>
        <v>4579866</v>
      </c>
      <c r="T11" s="64">
        <f>' Физический_ежемесячный'!T16</f>
        <v>4630798</v>
      </c>
      <c r="U11" s="64">
        <f>' Физический_ежемесячный'!U16</f>
        <v>13783434</v>
      </c>
      <c r="V11" s="64">
        <f>' Физический_ежемесячный'!V16</f>
        <v>14029250</v>
      </c>
      <c r="W11" s="64">
        <f>' Физический_ежемесячный'!W16</f>
        <v>15096010</v>
      </c>
      <c r="X11" s="64">
        <f>' Физический_ежемесячный'!X16</f>
        <v>15985252</v>
      </c>
      <c r="Y11" s="64">
        <f>' Физический_ежемесячный'!Y16</f>
        <v>14391398</v>
      </c>
      <c r="Z11" s="64">
        <f>' Физический_ежемесячный'!Z16</f>
        <v>11879566</v>
      </c>
      <c r="AA11" s="64">
        <f>' Физический_ежемесячный'!AA16</f>
        <v>2354620</v>
      </c>
      <c r="AB11" s="64">
        <f>' Физический_ежемесячный'!AB16</f>
        <v>469382</v>
      </c>
      <c r="AC11" s="64">
        <v>1408132</v>
      </c>
      <c r="AD11" s="64">
        <v>3994906.35</v>
      </c>
      <c r="AE11" s="64">
        <v>3355281</v>
      </c>
      <c r="AF11" s="64">
        <f>' Физический_ежемесячный'!AF16</f>
        <v>2571550</v>
      </c>
      <c r="AG11" s="64">
        <f>' Физический_ежемесячный'!AG16</f>
        <v>5545570</v>
      </c>
      <c r="AH11" s="64">
        <f>' Физический_ежемесячный'!AH16</f>
        <v>13176399.529999999</v>
      </c>
    </row>
    <row r="12" spans="1:34" ht="16.350000000000001" customHeight="1">
      <c r="B12" s="40" t="s">
        <v>86</v>
      </c>
      <c r="C12" s="9" t="s">
        <v>110</v>
      </c>
      <c r="D12" s="39"/>
      <c r="E12" s="64">
        <f>' Физический_ежемесячный'!E17</f>
        <v>918834481.98000002</v>
      </c>
      <c r="F12" s="64">
        <f>' Физический_ежемесячный'!F17</f>
        <v>629318933.5</v>
      </c>
      <c r="G12" s="64">
        <f>' Физический_ежемесячный'!G17</f>
        <v>468483341.69999999</v>
      </c>
      <c r="H12" s="64">
        <f>' Физический_ежемесячный'!H17</f>
        <v>399871676.99000001</v>
      </c>
      <c r="I12" s="64">
        <f>' Физический_ежемесячный'!I17</f>
        <v>350379204.37000006</v>
      </c>
      <c r="J12" s="64">
        <f>' Физический_ежемесячный'!J17</f>
        <v>355775342.06999993</v>
      </c>
      <c r="K12" s="64">
        <f>' Физический_ежемесячный'!K17</f>
        <v>379678149.1500001</v>
      </c>
      <c r="L12" s="64">
        <f>' Физический_ежемесячный'!L17</f>
        <v>359093242.87</v>
      </c>
      <c r="M12" s="64">
        <f>' Физический_ежемесячный'!M17</f>
        <v>329878552.95999998</v>
      </c>
      <c r="N12" s="64">
        <f>' Физический_ежемесячный'!N17</f>
        <v>384081294.06</v>
      </c>
      <c r="O12" s="64">
        <f>' Физический_ежемесячный'!O17</f>
        <v>497647371.21999997</v>
      </c>
      <c r="P12" s="64">
        <f>' Физический_ежемесячный'!P17</f>
        <v>758010023.17999995</v>
      </c>
      <c r="Q12" s="64">
        <f>' Физический_ежемесячный'!Q17</f>
        <v>747335179.60000002</v>
      </c>
      <c r="R12" s="64">
        <f>' Физический_ежемесячный'!R17</f>
        <v>714317631.70000005</v>
      </c>
      <c r="S12" s="64">
        <f>' Физический_ежемесячный'!S17</f>
        <v>533068544.53000003</v>
      </c>
      <c r="T12" s="64">
        <f>' Физический_ежемесячный'!T17</f>
        <v>401384861.71000004</v>
      </c>
      <c r="U12" s="64">
        <f>' Физический_ежемесячный'!U17</f>
        <v>371793423.20000005</v>
      </c>
      <c r="V12" s="64">
        <f>' Физический_ежемесячный'!V17</f>
        <v>378527171.95700002</v>
      </c>
      <c r="W12" s="64">
        <f>' Физический_ежемесячный'!W17</f>
        <v>421417413.36799997</v>
      </c>
      <c r="X12" s="64">
        <f>' Физический_ежемесячный'!X17</f>
        <v>431909591.51799995</v>
      </c>
      <c r="Y12" s="64">
        <f>' Физический_ежемесячный'!Y17</f>
        <v>354784627.07099998</v>
      </c>
      <c r="Z12" s="64">
        <f>' Физический_ежемесячный'!Z17</f>
        <v>413590465.86999995</v>
      </c>
      <c r="AA12" s="64">
        <f>' Физический_ежемесячный'!AA17</f>
        <v>611469500.23899984</v>
      </c>
      <c r="AB12" s="64">
        <f>' Физический_ежемесячный'!AB17</f>
        <v>865081942.17299998</v>
      </c>
      <c r="AC12" s="64">
        <v>857721711.99199998</v>
      </c>
      <c r="AD12" s="64">
        <v>715319464.9740001</v>
      </c>
      <c r="AE12" s="64">
        <v>658525601.15400004</v>
      </c>
      <c r="AF12" s="64">
        <f>' Физический_ежемесячный'!AF17</f>
        <v>457043163.44999999</v>
      </c>
      <c r="AG12" s="64">
        <f>' Физический_ежемесячный'!AG17</f>
        <v>448742596.61500001</v>
      </c>
      <c r="AH12" s="64">
        <f>' Физический_ежемесячный'!AH17</f>
        <v>479600836.00599992</v>
      </c>
    </row>
    <row r="13" spans="1:34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spans="1:34" ht="16.350000000000001" customHeight="1">
      <c r="B14" s="41" t="s">
        <v>108</v>
      </c>
      <c r="C14" s="9" t="s">
        <v>110</v>
      </c>
      <c r="D14" s="39"/>
      <c r="E14" s="66">
        <f>SUBTOTAL(9,E2:E12)</f>
        <v>1500240122.6635001</v>
      </c>
      <c r="F14" s="66">
        <f t="shared" ref="F14:AB14" si="0">SUBTOTAL(9,F2:F12)</f>
        <v>1111507961.3800001</v>
      </c>
      <c r="G14" s="66">
        <f t="shared" si="0"/>
        <v>996404539.70000005</v>
      </c>
      <c r="H14" s="66">
        <f t="shared" si="0"/>
        <v>1049805724.8</v>
      </c>
      <c r="I14" s="66">
        <f t="shared" si="0"/>
        <v>1141106912.74</v>
      </c>
      <c r="J14" s="66">
        <f t="shared" si="0"/>
        <v>1229114087.3199999</v>
      </c>
      <c r="K14" s="66">
        <f t="shared" si="0"/>
        <v>1311690712.3899999</v>
      </c>
      <c r="L14" s="66">
        <f t="shared" si="0"/>
        <v>1254987768.3800001</v>
      </c>
      <c r="M14" s="66">
        <f t="shared" si="0"/>
        <v>1092685444.7832</v>
      </c>
      <c r="N14" s="66">
        <f t="shared" si="0"/>
        <v>920531502.07439995</v>
      </c>
      <c r="O14" s="66">
        <f t="shared" si="0"/>
        <v>1064454229.8799999</v>
      </c>
      <c r="P14" s="66">
        <f t="shared" si="0"/>
        <v>1373179505.0799999</v>
      </c>
      <c r="Q14" s="66">
        <f t="shared" si="0"/>
        <v>1357269055.76</v>
      </c>
      <c r="R14" s="66">
        <f t="shared" si="0"/>
        <v>1298798924.9000001</v>
      </c>
      <c r="S14" s="66">
        <f t="shared" si="0"/>
        <v>1055569949.9335999</v>
      </c>
      <c r="T14" s="66">
        <f t="shared" si="0"/>
        <v>1010327477.97</v>
      </c>
      <c r="U14" s="66">
        <f t="shared" si="0"/>
        <v>1187606535.6855001</v>
      </c>
      <c r="V14" s="66">
        <f t="shared" si="0"/>
        <v>1299894505.9470901</v>
      </c>
      <c r="W14" s="66">
        <f t="shared" si="0"/>
        <v>1442392446.881</v>
      </c>
      <c r="X14" s="66">
        <f t="shared" si="0"/>
        <v>1439922210.3976002</v>
      </c>
      <c r="Y14" s="66">
        <f t="shared" si="0"/>
        <v>1157051593.8738999</v>
      </c>
      <c r="Z14" s="66">
        <f t="shared" si="0"/>
        <v>1052553762.5759997</v>
      </c>
      <c r="AA14" s="66">
        <f t="shared" si="0"/>
        <v>1253218792.0056999</v>
      </c>
      <c r="AB14" s="66">
        <f t="shared" si="0"/>
        <v>1564393916.2158999</v>
      </c>
      <c r="AC14" s="66">
        <v>1570221219.7543001</v>
      </c>
      <c r="AD14" s="66">
        <v>1364218355.5050001</v>
      </c>
      <c r="AE14" s="66">
        <v>1340880119.2324197</v>
      </c>
      <c r="AF14" s="66">
        <f t="shared" ref="AF14:AH14" si="1">SUBTOTAL(9,AF2:AF12)</f>
        <v>1191019106.4925001</v>
      </c>
      <c r="AG14" s="66">
        <f t="shared" si="1"/>
        <v>1417832060.0138998</v>
      </c>
      <c r="AH14" s="66">
        <f t="shared" si="1"/>
        <v>1492383064.3659</v>
      </c>
    </row>
    <row r="15" spans="1:34" ht="16.350000000000001" customHeight="1">
      <c r="B15" s="42"/>
      <c r="C15" s="39"/>
      <c r="D15" s="39"/>
      <c r="E15" s="43"/>
      <c r="F15" s="43"/>
      <c r="G15" s="43"/>
      <c r="H15" s="43"/>
      <c r="I15" s="43"/>
      <c r="J15" s="43"/>
      <c r="K15" s="43"/>
      <c r="L15" s="43"/>
      <c r="M15" s="43"/>
    </row>
    <row r="16" spans="1:34" s="6" customFormat="1" ht="15.75" customHeight="1" thickBot="1">
      <c r="A16" s="3" t="s">
        <v>92</v>
      </c>
      <c r="B16" s="4"/>
      <c r="C16" s="4" t="s">
        <v>20</v>
      </c>
      <c r="D16" s="4" t="s">
        <v>21</v>
      </c>
      <c r="E16" s="19">
        <v>44927</v>
      </c>
      <c r="F16" s="19">
        <v>44958</v>
      </c>
      <c r="G16" s="19">
        <v>44986</v>
      </c>
      <c r="H16" s="19">
        <v>45017</v>
      </c>
      <c r="I16" s="19">
        <v>45047</v>
      </c>
      <c r="J16" s="19">
        <v>45078</v>
      </c>
      <c r="K16" s="19">
        <v>45108</v>
      </c>
      <c r="L16" s="19">
        <v>45139</v>
      </c>
      <c r="M16" s="19">
        <v>45170</v>
      </c>
      <c r="N16" s="19">
        <v>45200</v>
      </c>
      <c r="O16" s="19">
        <v>45231</v>
      </c>
      <c r="P16" s="19">
        <v>45261</v>
      </c>
      <c r="Q16" s="19">
        <v>45292</v>
      </c>
      <c r="R16" s="19">
        <v>45323</v>
      </c>
      <c r="S16" s="19">
        <v>45352</v>
      </c>
      <c r="T16" s="19">
        <v>45383</v>
      </c>
      <c r="U16" s="19">
        <v>45413</v>
      </c>
      <c r="V16" s="19">
        <v>45444</v>
      </c>
      <c r="W16" s="19">
        <v>45474</v>
      </c>
      <c r="X16" s="19">
        <v>45505</v>
      </c>
      <c r="Y16" s="19">
        <v>45536</v>
      </c>
      <c r="Z16" s="19">
        <v>45566</v>
      </c>
      <c r="AA16" s="19">
        <v>45597</v>
      </c>
      <c r="AB16" s="19">
        <v>45627</v>
      </c>
      <c r="AC16" s="19">
        <v>45658</v>
      </c>
      <c r="AD16" s="19">
        <v>45689</v>
      </c>
      <c r="AE16" s="19">
        <v>45717</v>
      </c>
      <c r="AF16" s="19">
        <v>45748</v>
      </c>
      <c r="AG16" s="19">
        <v>45778</v>
      </c>
      <c r="AH16" s="19">
        <v>45809</v>
      </c>
    </row>
    <row r="17" spans="1:34" ht="16.5" customHeight="1">
      <c r="B17" s="44" t="s">
        <v>111</v>
      </c>
      <c r="C17" s="9" t="s">
        <v>120</v>
      </c>
      <c r="D17" s="37"/>
      <c r="E17" s="71">
        <f>E42/E2</f>
        <v>0.66692079254458125</v>
      </c>
      <c r="F17" s="71">
        <f t="shared" ref="F17:AB28" si="2">F42/F2</f>
        <v>0.6761413308584463</v>
      </c>
      <c r="G17" s="71">
        <f t="shared" si="2"/>
        <v>0.73523308632745088</v>
      </c>
      <c r="H17" s="71">
        <f t="shared" si="2"/>
        <v>0.68389272812985979</v>
      </c>
      <c r="I17" s="71">
        <f t="shared" si="2"/>
        <v>0.68454030156773327</v>
      </c>
      <c r="J17" s="71">
        <f t="shared" si="2"/>
        <v>0.69117410676160174</v>
      </c>
      <c r="K17" s="71">
        <f t="shared" si="2"/>
        <v>0.68292522311336568</v>
      </c>
      <c r="L17" s="71">
        <f t="shared" si="2"/>
        <v>0.68744364822574533</v>
      </c>
      <c r="M17" s="71">
        <f t="shared" si="2"/>
        <v>0.6835494879789682</v>
      </c>
      <c r="N17" s="71">
        <f t="shared" si="2"/>
        <v>0.68688285690876461</v>
      </c>
      <c r="O17" s="71">
        <f t="shared" si="2"/>
        <v>0.6852159392079229</v>
      </c>
      <c r="P17" s="71">
        <f t="shared" si="2"/>
        <v>0.6829902689612386</v>
      </c>
      <c r="Q17" s="71">
        <f t="shared" si="2"/>
        <v>0.78540557304906389</v>
      </c>
      <c r="R17" s="71">
        <f t="shared" si="2"/>
        <v>0.78252557304758186</v>
      </c>
      <c r="S17" s="71">
        <f t="shared" si="2"/>
        <v>0.78482223304520748</v>
      </c>
      <c r="T17" s="71">
        <f t="shared" si="2"/>
        <v>0.77334936867365667</v>
      </c>
      <c r="U17" s="71">
        <f t="shared" si="2"/>
        <v>0.76713474621159428</v>
      </c>
      <c r="V17" s="71">
        <f t="shared" si="2"/>
        <v>0.78963122204833336</v>
      </c>
      <c r="W17" s="71">
        <f t="shared" si="2"/>
        <v>0.78501339379528789</v>
      </c>
      <c r="X17" s="71">
        <f t="shared" si="2"/>
        <v>0.79050256185794865</v>
      </c>
      <c r="Y17" s="71">
        <f t="shared" si="2"/>
        <v>0.79024990452352895</v>
      </c>
      <c r="Z17" s="71">
        <f t="shared" si="2"/>
        <v>0.78860649440839947</v>
      </c>
      <c r="AA17" s="71">
        <f t="shared" si="2"/>
        <v>0.78573376618702573</v>
      </c>
      <c r="AB17" s="71">
        <f t="shared" si="2"/>
        <v>0.85940800863583366</v>
      </c>
      <c r="AC17" s="71">
        <f t="shared" ref="AC17:AH27" si="3">AC42/AC2</f>
        <v>0.77870638842006035</v>
      </c>
      <c r="AD17" s="71">
        <f t="shared" si="3"/>
        <v>0.78553405162076828</v>
      </c>
      <c r="AE17" s="71">
        <f t="shared" si="3"/>
        <v>0.78631327700697085</v>
      </c>
      <c r="AF17" s="71">
        <f t="shared" si="3"/>
        <v>0.90654284775415817</v>
      </c>
      <c r="AG17" s="71">
        <f t="shared" si="3"/>
        <v>0.90799051481241755</v>
      </c>
      <c r="AH17" s="71">
        <f t="shared" si="3"/>
        <v>0.90210358325116768</v>
      </c>
    </row>
    <row r="18" spans="1:34" ht="16.350000000000001" customHeight="1">
      <c r="B18" s="40" t="s">
        <v>112</v>
      </c>
      <c r="C18" s="9" t="s">
        <v>120</v>
      </c>
      <c r="D18" s="39"/>
      <c r="E18" s="71">
        <f t="shared" ref="E18:T29" si="4">E43/E3</f>
        <v>0.69749815057704745</v>
      </c>
      <c r="F18" s="71">
        <f t="shared" si="4"/>
        <v>0.69749952072265275</v>
      </c>
      <c r="G18" s="71">
        <f t="shared" si="4"/>
        <v>0.69749964200736758</v>
      </c>
      <c r="H18" s="71">
        <f t="shared" si="4"/>
        <v>0.1903547182975272</v>
      </c>
      <c r="I18" s="71">
        <f t="shared" si="4"/>
        <v>0.24023186739721653</v>
      </c>
      <c r="J18" s="71">
        <f t="shared" si="4"/>
        <v>0.12239996382271744</v>
      </c>
      <c r="K18" s="71">
        <f t="shared" si="4"/>
        <v>0.12240007335437146</v>
      </c>
      <c r="L18" s="71">
        <f t="shared" si="4"/>
        <v>0.12240044133344925</v>
      </c>
      <c r="M18" s="71">
        <f t="shared" si="4"/>
        <v>0.12240024741174556</v>
      </c>
      <c r="N18" s="71">
        <f t="shared" si="4"/>
        <v>0.49034610821689295</v>
      </c>
      <c r="O18" s="71">
        <f t="shared" si="4"/>
        <v>0.77105971908398341</v>
      </c>
      <c r="P18" s="71">
        <f t="shared" si="4"/>
        <v>0.69749584446068058</v>
      </c>
      <c r="Q18" s="71">
        <f t="shared" si="4"/>
        <v>0.8020005232290196</v>
      </c>
      <c r="R18" s="71">
        <f t="shared" si="4"/>
        <v>0.80200136645417197</v>
      </c>
      <c r="S18" s="71">
        <f t="shared" si="4"/>
        <v>0.80200094095913155</v>
      </c>
      <c r="T18" s="71">
        <f t="shared" si="4"/>
        <v>0.76874056341176744</v>
      </c>
      <c r="U18" s="71">
        <f t="shared" si="2"/>
        <v>0.14209207199539992</v>
      </c>
      <c r="V18" s="71">
        <f t="shared" si="2"/>
        <v>0.14230559696412073</v>
      </c>
      <c r="W18" s="71">
        <f t="shared" si="2"/>
        <v>0.14220745580693336</v>
      </c>
      <c r="X18" s="71">
        <f t="shared" si="2"/>
        <v>0.14204724654675671</v>
      </c>
      <c r="Y18" s="71">
        <f t="shared" si="2"/>
        <v>0.14144911768310897</v>
      </c>
      <c r="Z18" s="71">
        <f t="shared" si="2"/>
        <v>0.80622924727717382</v>
      </c>
      <c r="AA18" s="71">
        <f t="shared" si="2"/>
        <v>0.80154570845547324</v>
      </c>
      <c r="AB18" s="71">
        <f t="shared" si="2"/>
        <v>0.80141680526732095</v>
      </c>
      <c r="AC18" s="71">
        <f t="shared" ref="AC18:AE18" si="5">AC43/AC3</f>
        <v>0.80148650262620236</v>
      </c>
      <c r="AD18" s="71">
        <f t="shared" si="5"/>
        <v>0.80136243660815898</v>
      </c>
      <c r="AE18" s="71">
        <f t="shared" si="5"/>
        <v>0.80193366531855337</v>
      </c>
      <c r="AF18" s="71">
        <f t="shared" si="3"/>
        <v>0.70530971867105818</v>
      </c>
      <c r="AG18" s="71">
        <f t="shared" si="3"/>
        <v>0.16004515443986</v>
      </c>
      <c r="AH18" s="71">
        <f t="shared" si="3"/>
        <v>0.16047721510094592</v>
      </c>
    </row>
    <row r="19" spans="1:34" ht="16.350000000000001" customHeight="1">
      <c r="B19" s="40" t="s">
        <v>113</v>
      </c>
      <c r="C19" s="9" t="s">
        <v>120</v>
      </c>
      <c r="D19" s="39"/>
      <c r="E19" s="71">
        <f t="shared" si="4"/>
        <v>0.48755011337093185</v>
      </c>
      <c r="F19" s="71">
        <f t="shared" si="2"/>
        <v>0.50794197267125707</v>
      </c>
      <c r="G19" s="71">
        <f t="shared" si="2"/>
        <v>0.50265513696203368</v>
      </c>
      <c r="H19" s="71">
        <f t="shared" si="2"/>
        <v>0.5075523434725564</v>
      </c>
      <c r="I19" s="71">
        <f t="shared" si="2"/>
        <v>0.52061119185769433</v>
      </c>
      <c r="J19" s="71">
        <f t="shared" si="2"/>
        <v>0.54082468470782707</v>
      </c>
      <c r="K19" s="71">
        <f t="shared" si="2"/>
        <v>0.62783202449506037</v>
      </c>
      <c r="L19" s="71">
        <f t="shared" si="2"/>
        <v>0.49865969532006149</v>
      </c>
      <c r="M19" s="71">
        <f t="shared" si="2"/>
        <v>0.50685804545402835</v>
      </c>
      <c r="N19" s="71">
        <f t="shared" si="2"/>
        <v>0.50760304930974576</v>
      </c>
      <c r="O19" s="71">
        <f t="shared" si="2"/>
        <v>0.57234158223371634</v>
      </c>
      <c r="P19" s="71">
        <f t="shared" si="2"/>
        <v>0.50738850981471229</v>
      </c>
      <c r="Q19" s="71">
        <f t="shared" si="2"/>
        <v>0.59140104853382769</v>
      </c>
      <c r="R19" s="71">
        <f t="shared" si="2"/>
        <v>0.59036605319736002</v>
      </c>
      <c r="S19" s="71">
        <f t="shared" si="2"/>
        <v>0.59720702467401698</v>
      </c>
      <c r="T19" s="71">
        <f t="shared" si="2"/>
        <v>0.57290227094081103</v>
      </c>
      <c r="U19" s="71">
        <f t="shared" si="2"/>
        <v>0.57356883357822552</v>
      </c>
      <c r="V19" s="71">
        <f>V44/V4</f>
        <v>0.58065405236487644</v>
      </c>
      <c r="W19" s="71">
        <f t="shared" si="2"/>
        <v>0.58481413864976017</v>
      </c>
      <c r="X19" s="71">
        <f t="shared" si="2"/>
        <v>0.5852726495590872</v>
      </c>
      <c r="Y19" s="71">
        <f t="shared" si="2"/>
        <v>0.60492465722262934</v>
      </c>
      <c r="Z19" s="71">
        <f t="shared" si="2"/>
        <v>0.59347335149510538</v>
      </c>
      <c r="AA19" s="71">
        <f t="shared" si="2"/>
        <v>0.58938181586418703</v>
      </c>
      <c r="AB19" s="71">
        <f t="shared" si="2"/>
        <v>0.6036309740708915</v>
      </c>
      <c r="AC19" s="71">
        <f t="shared" ref="AC19:AE19" si="6">AC44/AC4</f>
        <v>0.58513782613762222</v>
      </c>
      <c r="AD19" s="71">
        <f t="shared" si="6"/>
        <v>0.59669411240977188</v>
      </c>
      <c r="AE19" s="71">
        <f t="shared" si="6"/>
        <v>0.60542363528437859</v>
      </c>
      <c r="AF19" s="71">
        <f t="shared" si="3"/>
        <v>0.69670532489427528</v>
      </c>
      <c r="AG19" s="71">
        <f t="shared" si="3"/>
        <v>0.69361015747738319</v>
      </c>
      <c r="AH19" s="71">
        <f t="shared" si="3"/>
        <v>0.69413279390390081</v>
      </c>
    </row>
    <row r="20" spans="1:34" ht="16.350000000000001" customHeight="1">
      <c r="B20" s="40" t="s">
        <v>114</v>
      </c>
      <c r="C20" s="9" t="s">
        <v>120</v>
      </c>
      <c r="D20" s="39"/>
      <c r="E20" s="71">
        <f t="shared" si="4"/>
        <v>0.30408517544075503</v>
      </c>
      <c r="F20" s="71">
        <f t="shared" si="2"/>
        <v>0.30468188391117773</v>
      </c>
      <c r="G20" s="71">
        <f t="shared" si="2"/>
        <v>0.3131387386921069</v>
      </c>
      <c r="H20" s="71">
        <f t="shared" si="2"/>
        <v>0.30629090662233582</v>
      </c>
      <c r="I20" s="71">
        <f t="shared" si="2"/>
        <v>0.30526465182062673</v>
      </c>
      <c r="J20" s="71">
        <f t="shared" si="2"/>
        <v>0.31234213288107765</v>
      </c>
      <c r="K20" s="71">
        <f t="shared" si="2"/>
        <v>0.3033901876560966</v>
      </c>
      <c r="L20" s="71">
        <f t="shared" si="2"/>
        <v>0.30424292684833393</v>
      </c>
      <c r="M20" s="71">
        <f t="shared" si="2"/>
        <v>0.30105602421479666</v>
      </c>
      <c r="N20" s="71">
        <f t="shared" si="2"/>
        <v>0.3069223730883599</v>
      </c>
      <c r="O20" s="71">
        <f t="shared" si="2"/>
        <v>0.30541832840469441</v>
      </c>
      <c r="P20" s="71">
        <f t="shared" si="2"/>
        <v>0.30523242046602517</v>
      </c>
      <c r="Q20" s="71">
        <f t="shared" si="2"/>
        <v>0.34995777735564143</v>
      </c>
      <c r="R20" s="71">
        <f t="shared" si="2"/>
        <v>0.35778920279357357</v>
      </c>
      <c r="S20" s="71">
        <f t="shared" si="2"/>
        <v>0.35098737676725089</v>
      </c>
      <c r="T20" s="71">
        <f t="shared" si="2"/>
        <v>0.34830202517414294</v>
      </c>
      <c r="U20" s="71">
        <f t="shared" si="2"/>
        <v>0.35084683023971475</v>
      </c>
      <c r="V20" s="71">
        <f t="shared" si="2"/>
        <v>0.34972200018521094</v>
      </c>
      <c r="W20" s="71">
        <f t="shared" si="2"/>
        <v>0.35064881583035251</v>
      </c>
      <c r="X20" s="71">
        <f t="shared" si="2"/>
        <v>0.35423779151009938</v>
      </c>
      <c r="Y20" s="71">
        <f t="shared" si="2"/>
        <v>0.35070983904142577</v>
      </c>
      <c r="Z20" s="71">
        <f t="shared" si="2"/>
        <v>0.35596437296453881</v>
      </c>
      <c r="AA20" s="71">
        <f t="shared" si="2"/>
        <v>0.35610094731174535</v>
      </c>
      <c r="AB20" s="71">
        <f t="shared" si="2"/>
        <v>0.35263114857326094</v>
      </c>
      <c r="AC20" s="71">
        <f t="shared" ref="AC20:AE20" si="7">AC45/AC5</f>
        <v>0.34957907129823157</v>
      </c>
      <c r="AD20" s="71">
        <f t="shared" si="7"/>
        <v>0.35096613968659351</v>
      </c>
      <c r="AE20" s="71">
        <f t="shared" si="7"/>
        <v>0.35166767944067084</v>
      </c>
      <c r="AF20" s="71">
        <f t="shared" si="3"/>
        <v>0.40388622307613509</v>
      </c>
      <c r="AG20" s="71">
        <f t="shared" si="3"/>
        <v>0.40304774899402934</v>
      </c>
      <c r="AH20" s="71">
        <f t="shared" si="3"/>
        <v>0.4084643926819525</v>
      </c>
    </row>
    <row r="21" spans="1:34" ht="16.350000000000001" customHeight="1">
      <c r="B21" s="40" t="s">
        <v>85</v>
      </c>
      <c r="C21" s="9" t="s">
        <v>120</v>
      </c>
      <c r="D21" s="39"/>
      <c r="E21" s="71">
        <f t="shared" si="4"/>
        <v>0.24678437655498978</v>
      </c>
      <c r="F21" s="71">
        <f t="shared" si="2"/>
        <v>0.23801708430066337</v>
      </c>
      <c r="G21" s="71">
        <f t="shared" si="2"/>
        <v>0.24372362101480782</v>
      </c>
      <c r="H21" s="71">
        <f t="shared" si="2"/>
        <v>9.1351268473393143E-2</v>
      </c>
      <c r="I21" s="71">
        <f t="shared" si="2"/>
        <v>9.2489922302849831E-2</v>
      </c>
      <c r="J21" s="71">
        <f t="shared" si="2"/>
        <v>9.2561446298228323E-2</v>
      </c>
      <c r="K21" s="71">
        <f t="shared" si="2"/>
        <v>9.3042340386369854E-2</v>
      </c>
      <c r="L21" s="71">
        <f t="shared" si="2"/>
        <v>9.2691484452345749E-2</v>
      </c>
      <c r="M21" s="71">
        <f t="shared" si="2"/>
        <v>9.1848531433103037E-2</v>
      </c>
      <c r="N21" s="71">
        <f t="shared" si="2"/>
        <v>0.2090574006061382</v>
      </c>
      <c r="O21" s="71">
        <f t="shared" si="2"/>
        <v>0.23386091942834608</v>
      </c>
      <c r="P21" s="71">
        <f t="shared" si="2"/>
        <v>0.19116282717181035</v>
      </c>
      <c r="Q21" s="71">
        <f t="shared" si="2"/>
        <v>0.26538406822623883</v>
      </c>
      <c r="R21" s="71">
        <f t="shared" si="2"/>
        <v>0.24238639822296981</v>
      </c>
      <c r="S21" s="71">
        <f t="shared" si="2"/>
        <v>0.23609502396195858</v>
      </c>
      <c r="T21" s="71">
        <f t="shared" si="2"/>
        <v>0.10165827790131056</v>
      </c>
      <c r="U21" s="71">
        <f t="shared" si="2"/>
        <v>0.10827627084594338</v>
      </c>
      <c r="V21" s="71">
        <f t="shared" si="2"/>
        <v>0.10796299273409735</v>
      </c>
      <c r="W21" s="71">
        <f t="shared" si="2"/>
        <v>0.10709817824849398</v>
      </c>
      <c r="X21" s="71">
        <f t="shared" si="2"/>
        <v>0.10778053144360471</v>
      </c>
      <c r="Y21" s="71">
        <f t="shared" si="2"/>
        <v>0.10688033806748962</v>
      </c>
      <c r="Z21" s="71">
        <f t="shared" si="2"/>
        <v>0.2536289512501278</v>
      </c>
      <c r="AA21" s="71">
        <f t="shared" si="2"/>
        <v>0.28728432983019792</v>
      </c>
      <c r="AB21" s="71">
        <f t="shared" si="2"/>
        <v>0.30096311224634037</v>
      </c>
      <c r="AC21" s="71">
        <f t="shared" ref="AC21:AE21" si="8">AC46/AC6</f>
        <v>0.293129156652645</v>
      </c>
      <c r="AD21" s="71">
        <f t="shared" si="8"/>
        <v>0.28627214030250214</v>
      </c>
      <c r="AE21" s="71">
        <f t="shared" si="8"/>
        <v>0.28598571200143241</v>
      </c>
      <c r="AF21" s="71">
        <f t="shared" si="3"/>
        <v>0.12318719954995472</v>
      </c>
      <c r="AG21" s="71">
        <f t="shared" si="3"/>
        <v>0.12418249312323189</v>
      </c>
      <c r="AH21" s="71">
        <f t="shared" si="3"/>
        <v>0.12428289746658179</v>
      </c>
    </row>
    <row r="22" spans="1:34" ht="16.350000000000001" customHeight="1">
      <c r="B22" s="40" t="s">
        <v>115</v>
      </c>
      <c r="C22" s="9" t="s">
        <v>120</v>
      </c>
      <c r="D22" s="39"/>
      <c r="E22" s="71">
        <f t="shared" si="4"/>
        <v>0.12962013754923146</v>
      </c>
      <c r="F22" s="71">
        <f t="shared" si="2"/>
        <v>0.12868727312039255</v>
      </c>
      <c r="G22" s="71">
        <f t="shared" si="2"/>
        <v>0.12811421019068203</v>
      </c>
      <c r="H22" s="71">
        <f t="shared" si="2"/>
        <v>0.12517682144211495</v>
      </c>
      <c r="I22" s="71">
        <f t="shared" si="2"/>
        <v>0.11416437904163465</v>
      </c>
      <c r="J22" s="71">
        <f t="shared" si="2"/>
        <v>0.1243283702738478</v>
      </c>
      <c r="K22" s="71">
        <f t="shared" si="2"/>
        <v>0.12336246783382189</v>
      </c>
      <c r="L22" s="71">
        <f t="shared" si="2"/>
        <v>0.11918506901864113</v>
      </c>
      <c r="M22" s="71">
        <f t="shared" si="2"/>
        <v>0.12417792868420185</v>
      </c>
      <c r="N22" s="71">
        <f t="shared" si="2"/>
        <v>0.1294660933099514</v>
      </c>
      <c r="O22" s="71">
        <f t="shared" si="2"/>
        <v>0.1288986906392563</v>
      </c>
      <c r="P22" s="71">
        <f t="shared" si="2"/>
        <v>0.13154242397429067</v>
      </c>
      <c r="Q22" s="71">
        <f t="shared" si="2"/>
        <v>0.14321501287924579</v>
      </c>
      <c r="R22" s="71">
        <f t="shared" si="2"/>
        <v>0.14736808101687449</v>
      </c>
      <c r="S22" s="71">
        <f t="shared" si="2"/>
        <v>0.14810593902264033</v>
      </c>
      <c r="T22" s="71">
        <f t="shared" si="2"/>
        <v>0.14651249957462928</v>
      </c>
      <c r="U22" s="71">
        <f t="shared" si="2"/>
        <v>0.14735465443239479</v>
      </c>
      <c r="V22" s="71">
        <f t="shared" si="2"/>
        <v>0.14795160705941116</v>
      </c>
      <c r="W22" s="71">
        <f t="shared" si="2"/>
        <v>0.14780168129466686</v>
      </c>
      <c r="X22" s="71">
        <f t="shared" si="2"/>
        <v>0.14635927041221256</v>
      </c>
      <c r="Y22" s="71">
        <f t="shared" si="2"/>
        <v>0.14688036313002367</v>
      </c>
      <c r="Z22" s="71">
        <f t="shared" si="2"/>
        <v>0.14805149718779786</v>
      </c>
      <c r="AA22" s="71">
        <f t="shared" si="2"/>
        <v>0.14809696583256132</v>
      </c>
      <c r="AB22" s="71">
        <f t="shared" si="2"/>
        <v>0.14856171708732371</v>
      </c>
      <c r="AC22" s="71">
        <f t="shared" ref="AC22:AE22" si="9">AC47/AC7</f>
        <v>0.14743555374450221</v>
      </c>
      <c r="AD22" s="71">
        <f t="shared" si="9"/>
        <v>0.14774249141388193</v>
      </c>
      <c r="AE22" s="71">
        <f t="shared" si="9"/>
        <v>0.14686274702946864</v>
      </c>
      <c r="AF22" s="71">
        <f t="shared" si="3"/>
        <v>0.1683582009754542</v>
      </c>
      <c r="AG22" s="71">
        <f t="shared" si="3"/>
        <v>0.16857692319004</v>
      </c>
      <c r="AH22" s="71">
        <f t="shared" si="3"/>
        <v>0.17012476077195118</v>
      </c>
    </row>
    <row r="23" spans="1:34" ht="16.350000000000001" customHeight="1">
      <c r="B23" s="40" t="s">
        <v>116</v>
      </c>
      <c r="C23" s="9" t="s">
        <v>120</v>
      </c>
      <c r="D23" s="39"/>
      <c r="E23" s="71">
        <f t="shared" si="4"/>
        <v>8.8862015677501738E-2</v>
      </c>
      <c r="F23" s="71">
        <f t="shared" si="2"/>
        <v>0.10151022043564739</v>
      </c>
      <c r="G23" s="71">
        <f t="shared" si="2"/>
        <v>9.126284314237175E-2</v>
      </c>
      <c r="H23" s="71">
        <f t="shared" si="2"/>
        <v>8.8484427245540606E-2</v>
      </c>
      <c r="I23" s="71">
        <f t="shared" si="2"/>
        <v>8.9448820951435498E-2</v>
      </c>
      <c r="J23" s="71">
        <f t="shared" si="2"/>
        <v>9.0161403898125492E-2</v>
      </c>
      <c r="K23" s="71">
        <f t="shared" si="2"/>
        <v>9.200747477320409E-2</v>
      </c>
      <c r="L23" s="71">
        <f t="shared" si="2"/>
        <v>9.199906768177317E-2</v>
      </c>
      <c r="M23" s="71">
        <f t="shared" si="2"/>
        <v>6.8549195800934257E-2</v>
      </c>
      <c r="N23" s="71">
        <f t="shared" si="2"/>
        <v>9.2008164652485708E-2</v>
      </c>
      <c r="O23" s="71">
        <f t="shared" si="2"/>
        <v>9.4284292152734608E-2</v>
      </c>
      <c r="P23" s="71">
        <f t="shared" si="2"/>
        <v>8.7604442255907078E-2</v>
      </c>
      <c r="Q23" s="71">
        <f t="shared" si="2"/>
        <v>0.10591728257924177</v>
      </c>
      <c r="R23" s="71">
        <f t="shared" si="2"/>
        <v>0.10877745799730523</v>
      </c>
      <c r="S23" s="71">
        <f t="shared" si="2"/>
        <v>0.10680380811847563</v>
      </c>
      <c r="T23" s="71">
        <f t="shared" si="2"/>
        <v>0.10035489184207547</v>
      </c>
      <c r="U23" s="71">
        <f t="shared" si="2"/>
        <v>0.10454836760450821</v>
      </c>
      <c r="V23" s="71">
        <f t="shared" si="2"/>
        <v>0.1070285017036966</v>
      </c>
      <c r="W23" s="71">
        <f t="shared" si="2"/>
        <v>0.10798587658547702</v>
      </c>
      <c r="X23" s="71">
        <f t="shared" si="2"/>
        <v>0.10698857659630402</v>
      </c>
      <c r="Y23" s="71">
        <f t="shared" si="2"/>
        <v>0.10892769231972783</v>
      </c>
      <c r="Z23" s="71">
        <f t="shared" si="2"/>
        <v>0.10614212913341248</v>
      </c>
      <c r="AA23" s="71">
        <f t="shared" si="2"/>
        <v>0.11443745037427233</v>
      </c>
      <c r="AB23" s="71">
        <f t="shared" si="2"/>
        <v>0.11520234886676096</v>
      </c>
      <c r="AC23" s="71">
        <f t="shared" ref="AC23:AE23" si="10">AC48/AC8</f>
        <v>0.11408571525569153</v>
      </c>
      <c r="AD23" s="71">
        <f t="shared" si="10"/>
        <v>0.10807739739268812</v>
      </c>
      <c r="AE23" s="71">
        <f t="shared" si="10"/>
        <v>0.10726384576189804</v>
      </c>
      <c r="AF23" s="71">
        <f t="shared" si="3"/>
        <v>0.1226858952477887</v>
      </c>
      <c r="AG23" s="71">
        <f t="shared" si="3"/>
        <v>0.15238753660782325</v>
      </c>
      <c r="AH23" s="71">
        <f t="shared" si="3"/>
        <v>0.12291088153941311</v>
      </c>
    </row>
    <row r="24" spans="1:34" ht="16.350000000000001" customHeight="1">
      <c r="B24" s="40" t="s">
        <v>117</v>
      </c>
      <c r="C24" s="9" t="s">
        <v>120</v>
      </c>
      <c r="D24" s="39"/>
      <c r="E24" s="71">
        <f t="shared" si="4"/>
        <v>0.18029091224714769</v>
      </c>
      <c r="F24" s="71">
        <f t="shared" si="2"/>
        <v>0.18014266898226933</v>
      </c>
      <c r="G24" s="71">
        <f t="shared" si="2"/>
        <v>0.17989175086836989</v>
      </c>
      <c r="H24" s="71">
        <f t="shared" si="2"/>
        <v>0.179349745093661</v>
      </c>
      <c r="I24" s="71">
        <f t="shared" si="2"/>
        <v>0.13378202455893035</v>
      </c>
      <c r="J24" s="71">
        <f t="shared" si="2"/>
        <v>0.15601158115489996</v>
      </c>
      <c r="K24" s="71">
        <f t="shared" si="2"/>
        <v>0.15593115266738536</v>
      </c>
      <c r="L24" s="71">
        <f t="shared" si="2"/>
        <v>0.15601205157634013</v>
      </c>
      <c r="M24" s="71">
        <f t="shared" si="2"/>
        <v>0.15589156942518106</v>
      </c>
      <c r="N24" s="71">
        <f t="shared" si="2"/>
        <v>0.15632027907327098</v>
      </c>
      <c r="O24" s="71">
        <f t="shared" si="2"/>
        <v>0.1564046006277455</v>
      </c>
      <c r="P24" s="71">
        <f t="shared" si="2"/>
        <v>0.15624677525949929</v>
      </c>
      <c r="Q24" s="71">
        <f t="shared" si="2"/>
        <v>0.18131007072291974</v>
      </c>
      <c r="R24" s="71">
        <f t="shared" si="2"/>
        <v>0.18129163252476993</v>
      </c>
      <c r="S24" s="71">
        <f t="shared" si="2"/>
        <v>0.18105997028788734</v>
      </c>
      <c r="T24" s="71">
        <f t="shared" si="2"/>
        <v>0.18119450214449592</v>
      </c>
      <c r="U24" s="71">
        <f t="shared" si="2"/>
        <v>0.18049197321804059</v>
      </c>
      <c r="V24" s="71">
        <f t="shared" si="2"/>
        <v>0.18087046318212641</v>
      </c>
      <c r="W24" s="71">
        <f t="shared" si="2"/>
        <v>0.18090488059131096</v>
      </c>
      <c r="X24" s="71">
        <f t="shared" si="2"/>
        <v>0.18064468127904162</v>
      </c>
      <c r="Y24" s="71">
        <f t="shared" si="2"/>
        <v>0.18076726799208817</v>
      </c>
      <c r="Z24" s="71">
        <f t="shared" si="2"/>
        <v>0.18116819554838104</v>
      </c>
      <c r="AA24" s="71">
        <f t="shared" si="2"/>
        <v>0.1811650135927578</v>
      </c>
      <c r="AB24" s="71">
        <f t="shared" si="2"/>
        <v>0.18112586384564305</v>
      </c>
      <c r="AC24" s="71">
        <f t="shared" ref="AC24:AE24" si="11">AC49/AC9</f>
        <v>0.18148284429371261</v>
      </c>
      <c r="AD24" s="71">
        <f t="shared" si="11"/>
        <v>0.18131123411240505</v>
      </c>
      <c r="AE24" s="71">
        <f t="shared" si="11"/>
        <v>0.18101925226665519</v>
      </c>
      <c r="AF24" s="71">
        <f t="shared" si="3"/>
        <v>0.20791170898959166</v>
      </c>
      <c r="AG24" s="71">
        <f t="shared" si="3"/>
        <v>0.20802157518046893</v>
      </c>
      <c r="AH24" s="71">
        <f t="shared" si="3"/>
        <v>0.20799753010739827</v>
      </c>
    </row>
    <row r="25" spans="1:34" ht="16.350000000000001" customHeight="1">
      <c r="B25" s="40" t="s">
        <v>118</v>
      </c>
      <c r="C25" s="9" t="s">
        <v>120</v>
      </c>
      <c r="D25" s="39"/>
      <c r="E25" s="71">
        <f t="shared" si="4"/>
        <v>0.16467200889636885</v>
      </c>
      <c r="F25" s="71">
        <f t="shared" si="2"/>
        <v>0.17465437232324552</v>
      </c>
      <c r="G25" s="71">
        <f t="shared" si="2"/>
        <v>0.1746176396697075</v>
      </c>
      <c r="H25" s="71">
        <f t="shared" si="2"/>
        <v>0.17460000000000001</v>
      </c>
      <c r="I25" s="71">
        <f t="shared" si="2"/>
        <v>0.17461900739283603</v>
      </c>
      <c r="J25" s="71" t="e">
        <f t="shared" si="2"/>
        <v>#DIV/0!</v>
      </c>
      <c r="K25" s="71" t="e">
        <f t="shared" si="2"/>
        <v>#DIV/0!</v>
      </c>
      <c r="L25" s="71">
        <f t="shared" si="2"/>
        <v>0.69747499999999996</v>
      </c>
      <c r="M25" s="71" t="e">
        <f t="shared" si="2"/>
        <v>#DIV/0!</v>
      </c>
      <c r="N25" s="71" t="e">
        <f t="shared" si="2"/>
        <v>#DIV/0!</v>
      </c>
      <c r="O25" s="71">
        <f t="shared" si="2"/>
        <v>0.69750011228553466</v>
      </c>
      <c r="P25" s="71">
        <f t="shared" si="2"/>
        <v>0.17010001554359147</v>
      </c>
      <c r="Q25" s="71">
        <f t="shared" si="2"/>
        <v>0.17010001239284911</v>
      </c>
      <c r="R25" s="71">
        <f t="shared" si="2"/>
        <v>0.17010005001661627</v>
      </c>
      <c r="S25" s="71">
        <f t="shared" si="2"/>
        <v>0.1701001277500806</v>
      </c>
      <c r="T25" s="71">
        <f t="shared" si="2"/>
        <v>0.17010005450833574</v>
      </c>
      <c r="U25" s="71">
        <f t="shared" si="2"/>
        <v>0.170100002736355</v>
      </c>
      <c r="V25" s="71">
        <f t="shared" si="2"/>
        <v>0.17010008960527745</v>
      </c>
      <c r="W25" s="71">
        <f t="shared" si="2"/>
        <v>0.17010008201156027</v>
      </c>
      <c r="X25" s="71">
        <f t="shared" si="2"/>
        <v>0.17010006874292255</v>
      </c>
      <c r="Y25" s="71">
        <f t="shared" si="2"/>
        <v>0.17010000661834115</v>
      </c>
      <c r="Z25" s="71">
        <f t="shared" si="2"/>
        <v>0.17010004451813401</v>
      </c>
      <c r="AA25" s="71">
        <f t="shared" si="2"/>
        <v>0.17010001722867452</v>
      </c>
      <c r="AB25" s="71">
        <f t="shared" si="2"/>
        <v>0.17010003390357023</v>
      </c>
      <c r="AC25" s="71">
        <f t="shared" ref="AC25:AE25" si="12">AC50/AC10</f>
        <v>0.17010001457088739</v>
      </c>
      <c r="AD25" s="71">
        <f t="shared" si="12"/>
        <v>0.17467000791562634</v>
      </c>
      <c r="AE25" s="71">
        <f t="shared" si="12"/>
        <v>0.17446701440280912</v>
      </c>
      <c r="AF25" s="71">
        <f t="shared" si="3"/>
        <v>0.16930009301234614</v>
      </c>
      <c r="AG25" s="71">
        <f t="shared" si="3"/>
        <v>0.15900006611074086</v>
      </c>
      <c r="AH25" s="71">
        <f t="shared" si="3"/>
        <v>0.15840002446307538</v>
      </c>
    </row>
    <row r="26" spans="1:34" ht="16.350000000000001" customHeight="1">
      <c r="B26" s="40" t="s">
        <v>101</v>
      </c>
      <c r="C26" s="9" t="s">
        <v>120</v>
      </c>
      <c r="D26" s="39"/>
      <c r="E26" s="71" t="e">
        <f t="shared" si="4"/>
        <v>#DIV/0!</v>
      </c>
      <c r="F26" s="71" t="e">
        <f t="shared" si="2"/>
        <v>#DIV/0!</v>
      </c>
      <c r="G26" s="71" t="e">
        <f t="shared" si="2"/>
        <v>#DIV/0!</v>
      </c>
      <c r="H26" s="71" t="e">
        <f t="shared" si="2"/>
        <v>#DIV/0!</v>
      </c>
      <c r="I26" s="71">
        <f t="shared" si="2"/>
        <v>0.46</v>
      </c>
      <c r="J26" s="71">
        <f t="shared" si="2"/>
        <v>0.46079775491546149</v>
      </c>
      <c r="K26" s="71">
        <f t="shared" si="2"/>
        <v>0.45999999999999996</v>
      </c>
      <c r="L26" s="71">
        <f t="shared" si="2"/>
        <v>0.46</v>
      </c>
      <c r="M26" s="71">
        <f t="shared" si="2"/>
        <v>0.45999999999999996</v>
      </c>
      <c r="N26" s="71">
        <f t="shared" si="2"/>
        <v>0.46</v>
      </c>
      <c r="O26" s="71">
        <f t="shared" si="2"/>
        <v>0.46</v>
      </c>
      <c r="P26" s="71">
        <f t="shared" si="2"/>
        <v>0.46</v>
      </c>
      <c r="Q26" s="71">
        <f t="shared" si="2"/>
        <v>0.52895999999999999</v>
      </c>
      <c r="R26" s="71">
        <f t="shared" si="2"/>
        <v>0.52895999999999999</v>
      </c>
      <c r="S26" s="71">
        <f t="shared" si="2"/>
        <v>0.52895999999999999</v>
      </c>
      <c r="T26" s="71">
        <f t="shared" si="2"/>
        <v>0.52900000172756401</v>
      </c>
      <c r="U26" s="71">
        <f t="shared" si="2"/>
        <v>0.52899999956469479</v>
      </c>
      <c r="V26" s="71">
        <f t="shared" si="2"/>
        <v>0.52895999999999999</v>
      </c>
      <c r="W26" s="71">
        <f t="shared" si="2"/>
        <v>0.52895999999999999</v>
      </c>
      <c r="X26" s="71">
        <f t="shared" si="2"/>
        <v>0.5289600000000001</v>
      </c>
      <c r="Y26" s="71">
        <f t="shared" si="2"/>
        <v>0.52899999986102808</v>
      </c>
      <c r="Z26" s="71">
        <f t="shared" si="2"/>
        <v>0.52899999966328737</v>
      </c>
      <c r="AA26" s="71">
        <f t="shared" si="2"/>
        <v>0.30745800000000001</v>
      </c>
      <c r="AB26" s="71">
        <f t="shared" si="2"/>
        <v>0.30749998934769546</v>
      </c>
      <c r="AC26" s="71">
        <f t="shared" ref="AC26:AE26" si="13">AC51/AC11</f>
        <v>0.30745800000000001</v>
      </c>
      <c r="AD26" s="71">
        <f t="shared" si="13"/>
        <v>0.30749997431103737</v>
      </c>
      <c r="AE26" s="71">
        <f t="shared" si="13"/>
        <v>0.30184725809850205</v>
      </c>
      <c r="AF26" s="71">
        <f t="shared" si="3"/>
        <v>0.35359999999999997</v>
      </c>
      <c r="AG26" s="71">
        <f t="shared" si="3"/>
        <v>0.35359999963935179</v>
      </c>
      <c r="AH26" s="71">
        <f t="shared" si="3"/>
        <v>0.35360001261285373</v>
      </c>
    </row>
    <row r="27" spans="1:34" ht="16.350000000000001" customHeight="1">
      <c r="B27" s="40" t="s">
        <v>86</v>
      </c>
      <c r="C27" s="9" t="s">
        <v>120</v>
      </c>
      <c r="D27" s="39"/>
      <c r="E27" s="71">
        <f t="shared" si="4"/>
        <v>0.26589576849208613</v>
      </c>
      <c r="F27" s="71">
        <f t="shared" si="2"/>
        <v>0.26641844271160797</v>
      </c>
      <c r="G27" s="71">
        <f t="shared" si="2"/>
        <v>0.26599503202015351</v>
      </c>
      <c r="H27" s="71">
        <f t="shared" si="2"/>
        <v>0.26596106461632751</v>
      </c>
      <c r="I27" s="71">
        <f t="shared" si="2"/>
        <v>0.26576290931436874</v>
      </c>
      <c r="J27" s="71">
        <f t="shared" si="2"/>
        <v>0.26568861001418653</v>
      </c>
      <c r="K27" s="71">
        <f t="shared" si="2"/>
        <v>0.26545017262629578</v>
      </c>
      <c r="L27" s="71">
        <f t="shared" si="2"/>
        <v>0.26557840088604834</v>
      </c>
      <c r="M27" s="71">
        <f t="shared" si="2"/>
        <v>0.26570791153048479</v>
      </c>
      <c r="N27" s="71">
        <f t="shared" si="2"/>
        <v>0.2661442454852575</v>
      </c>
      <c r="O27" s="71">
        <f t="shared" si="2"/>
        <v>0.26602537301171519</v>
      </c>
      <c r="P27" s="71">
        <f t="shared" si="2"/>
        <v>0.26603415051942375</v>
      </c>
      <c r="Q27" s="71">
        <f t="shared" si="2"/>
        <v>0.30958034576511195</v>
      </c>
      <c r="R27" s="71">
        <f t="shared" si="2"/>
        <v>0.30925036685749219</v>
      </c>
      <c r="S27" s="71">
        <f t="shared" si="2"/>
        <v>0.31068955918984886</v>
      </c>
      <c r="T27" s="71">
        <f t="shared" si="2"/>
        <v>0.30758764516186565</v>
      </c>
      <c r="U27" s="71">
        <f t="shared" si="2"/>
        <v>0.30851676431160713</v>
      </c>
      <c r="V27" s="71">
        <f t="shared" si="2"/>
        <v>0.30817894741697877</v>
      </c>
      <c r="W27" s="71">
        <f t="shared" si="2"/>
        <v>0.3082521079177909</v>
      </c>
      <c r="X27" s="71">
        <f t="shared" si="2"/>
        <v>0.30827498261610858</v>
      </c>
      <c r="Y27" s="71">
        <f t="shared" si="2"/>
        <v>0.30859055724249873</v>
      </c>
      <c r="Z27" s="71">
        <f t="shared" si="2"/>
        <v>0.30984579379262084</v>
      </c>
      <c r="AA27" s="71">
        <f t="shared" si="2"/>
        <v>0.30900288149245114</v>
      </c>
      <c r="AB27" s="71">
        <f t="shared" si="2"/>
        <v>0.31152776437055568</v>
      </c>
      <c r="AC27" s="71">
        <f t="shared" ref="AC27:AE27" si="14">AC52/AC12</f>
        <v>0.31222740353313788</v>
      </c>
      <c r="AD27" s="71">
        <f t="shared" si="14"/>
        <v>0.31061243971300839</v>
      </c>
      <c r="AE27" s="71">
        <f t="shared" si="14"/>
        <v>0.31003327034963951</v>
      </c>
      <c r="AF27" s="71">
        <f t="shared" si="3"/>
        <v>0.35660772081847231</v>
      </c>
      <c r="AG27" s="71">
        <f t="shared" si="3"/>
        <v>0.35463728515187598</v>
      </c>
      <c r="AH27" s="71">
        <f t="shared" si="3"/>
        <v>0.354447482027826</v>
      </c>
    </row>
    <row r="28" spans="1:34" ht="16.350000000000001" customHeight="1">
      <c r="B28" s="40" t="s">
        <v>2</v>
      </c>
      <c r="C28" s="9" t="s">
        <v>120</v>
      </c>
      <c r="D28" s="39"/>
      <c r="E28" s="71" t="e">
        <f t="shared" si="4"/>
        <v>#DIV/0!</v>
      </c>
      <c r="F28" s="71" t="e">
        <f t="shared" si="2"/>
        <v>#DIV/0!</v>
      </c>
      <c r="G28" s="71" t="e">
        <f t="shared" si="2"/>
        <v>#DIV/0!</v>
      </c>
      <c r="H28" s="71" t="e">
        <f t="shared" si="2"/>
        <v>#DIV/0!</v>
      </c>
      <c r="I28" s="71" t="e">
        <f t="shared" si="2"/>
        <v>#DIV/0!</v>
      </c>
      <c r="J28" s="71" t="e">
        <f t="shared" si="2"/>
        <v>#DIV/0!</v>
      </c>
      <c r="K28" s="71" t="e">
        <f t="shared" si="2"/>
        <v>#DIV/0!</v>
      </c>
      <c r="L28" s="71" t="e">
        <f t="shared" si="2"/>
        <v>#DIV/0!</v>
      </c>
      <c r="M28" s="71" t="e">
        <f t="shared" si="2"/>
        <v>#DIV/0!</v>
      </c>
      <c r="N28" s="71" t="e">
        <f t="shared" si="2"/>
        <v>#DIV/0!</v>
      </c>
      <c r="O28" s="71" t="e">
        <f t="shared" si="2"/>
        <v>#DIV/0!</v>
      </c>
      <c r="P28" s="71" t="e">
        <f t="shared" si="2"/>
        <v>#DIV/0!</v>
      </c>
      <c r="Q28" s="71" t="e">
        <f t="shared" si="2"/>
        <v>#DIV/0!</v>
      </c>
      <c r="R28" s="71" t="e">
        <f t="shared" si="2"/>
        <v>#DIV/0!</v>
      </c>
      <c r="S28" s="71" t="e">
        <f t="shared" si="2"/>
        <v>#DIV/0!</v>
      </c>
      <c r="T28" s="71" t="e">
        <f t="shared" si="2"/>
        <v>#DIV/0!</v>
      </c>
      <c r="U28" s="71" t="e">
        <f t="shared" si="2"/>
        <v>#DIV/0!</v>
      </c>
      <c r="V28" s="71" t="e">
        <f t="shared" si="2"/>
        <v>#DIV/0!</v>
      </c>
      <c r="W28" s="71" t="e">
        <f t="shared" ref="F28:AB29" si="15">W53/W13</f>
        <v>#DIV/0!</v>
      </c>
      <c r="X28" s="71" t="e">
        <f t="shared" si="15"/>
        <v>#DIV/0!</v>
      </c>
      <c r="Y28" s="71" t="e">
        <f t="shared" si="15"/>
        <v>#DIV/0!</v>
      </c>
      <c r="Z28" s="71" t="e">
        <f t="shared" si="15"/>
        <v>#DIV/0!</v>
      </c>
      <c r="AA28" s="71" t="e">
        <f t="shared" si="15"/>
        <v>#DIV/0!</v>
      </c>
      <c r="AB28" s="71"/>
      <c r="AC28" s="71"/>
      <c r="AD28" s="71"/>
      <c r="AE28" s="71"/>
      <c r="AF28" s="71"/>
      <c r="AG28" s="71"/>
      <c r="AH28" s="71"/>
    </row>
    <row r="29" spans="1:34" ht="16.350000000000001" customHeight="1">
      <c r="B29" s="41" t="s">
        <v>108</v>
      </c>
      <c r="C29" s="9" t="s">
        <v>120</v>
      </c>
      <c r="D29" s="39"/>
      <c r="E29" s="73">
        <f t="shared" si="4"/>
        <v>0.31251963827222529</v>
      </c>
      <c r="F29" s="73">
        <f t="shared" si="15"/>
        <v>0.32716022455162513</v>
      </c>
      <c r="G29" s="73">
        <f t="shared" si="15"/>
        <v>0.34141930688199768</v>
      </c>
      <c r="H29" s="73">
        <f t="shared" si="15"/>
        <v>0.2919176132393258</v>
      </c>
      <c r="I29" s="73">
        <f t="shared" si="15"/>
        <v>0.27497074501530727</v>
      </c>
      <c r="J29" s="73">
        <f t="shared" si="15"/>
        <v>0.27143596999371589</v>
      </c>
      <c r="K29" s="73">
        <f t="shared" si="15"/>
        <v>0.2718964456887345</v>
      </c>
      <c r="L29" s="73">
        <f t="shared" si="15"/>
        <v>0.28023122101124909</v>
      </c>
      <c r="M29" s="73">
        <f t="shared" si="15"/>
        <v>0.29043375597365717</v>
      </c>
      <c r="N29" s="73">
        <f t="shared" si="15"/>
        <v>0.34873601412434785</v>
      </c>
      <c r="O29" s="73">
        <f t="shared" si="15"/>
        <v>0.34424408971056869</v>
      </c>
      <c r="P29" s="73">
        <f t="shared" si="15"/>
        <v>0.33566642036029132</v>
      </c>
      <c r="Q29" s="73">
        <f t="shared" si="15"/>
        <v>0.38549273031600034</v>
      </c>
      <c r="R29" s="73">
        <f t="shared" si="15"/>
        <v>0.3812278725366583</v>
      </c>
      <c r="S29" s="73">
        <f t="shared" si="15"/>
        <v>0.38492204540295499</v>
      </c>
      <c r="T29" s="73">
        <f t="shared" si="15"/>
        <v>0.36186905378901912</v>
      </c>
      <c r="U29" s="73">
        <f t="shared" si="15"/>
        <v>0.33620342880719539</v>
      </c>
      <c r="V29" s="73">
        <f t="shared" si="15"/>
        <v>0.32338146732953271</v>
      </c>
      <c r="W29" s="73">
        <f t="shared" si="15"/>
        <v>0.32234181139080431</v>
      </c>
      <c r="X29" s="73">
        <f t="shared" si="15"/>
        <v>0.33285599954128309</v>
      </c>
      <c r="Y29" s="73">
        <f t="shared" si="15"/>
        <v>0.35693765593488841</v>
      </c>
      <c r="Z29" s="73">
        <f t="shared" si="15"/>
        <v>0.40833830291586121</v>
      </c>
      <c r="AA29" s="73">
        <f t="shared" si="15"/>
        <v>0.39894801383758693</v>
      </c>
      <c r="AB29" s="73">
        <f t="shared" si="15"/>
        <v>0.40199924245911878</v>
      </c>
      <c r="AC29" s="73">
        <f t="shared" ref="AC29:AD29" si="16">AC54/AC14</f>
        <v>0.38464657303927208</v>
      </c>
      <c r="AD29" s="73">
        <f t="shared" si="16"/>
        <v>0.39522243664415485</v>
      </c>
      <c r="AE29" s="73">
        <f>AE54/AE14</f>
        <v>0.38653655966104655</v>
      </c>
      <c r="AF29" s="73">
        <f>AF54/AF14</f>
        <v>0.42559055292365944</v>
      </c>
      <c r="AG29" s="73">
        <f>AG54/AG14</f>
        <v>0.40591397516579919</v>
      </c>
      <c r="AH29" s="73">
        <f>AH54/AH14</f>
        <v>0.40244695764149296</v>
      </c>
    </row>
    <row r="30" spans="1:34" ht="16.350000000000001" customHeight="1">
      <c r="B30" s="42"/>
      <c r="C30" s="39"/>
      <c r="D30" s="39"/>
      <c r="E30" s="43"/>
      <c r="F30" s="43"/>
      <c r="G30" s="43"/>
      <c r="H30" s="43"/>
      <c r="I30" s="43"/>
      <c r="J30" s="43"/>
      <c r="K30" s="43"/>
      <c r="L30" s="43"/>
      <c r="M30" s="43"/>
    </row>
    <row r="31" spans="1:34" s="6" customFormat="1" ht="15.75" customHeight="1" thickBot="1">
      <c r="A31" s="3" t="s">
        <v>87</v>
      </c>
      <c r="B31" s="4"/>
      <c r="C31" s="4" t="s">
        <v>20</v>
      </c>
      <c r="D31" s="4" t="s">
        <v>21</v>
      </c>
      <c r="E31" s="19">
        <v>44927</v>
      </c>
      <c r="F31" s="19">
        <v>44958</v>
      </c>
      <c r="G31" s="19">
        <v>44986</v>
      </c>
      <c r="H31" s="19">
        <v>45017</v>
      </c>
      <c r="I31" s="19">
        <v>45047</v>
      </c>
      <c r="J31" s="19">
        <v>45078</v>
      </c>
      <c r="K31" s="19">
        <v>45108</v>
      </c>
      <c r="L31" s="19">
        <v>45139</v>
      </c>
      <c r="M31" s="19">
        <v>45170</v>
      </c>
      <c r="N31" s="19">
        <v>45200</v>
      </c>
      <c r="O31" s="19">
        <v>45231</v>
      </c>
      <c r="P31" s="19">
        <v>45261</v>
      </c>
      <c r="Q31" s="19">
        <v>45292</v>
      </c>
      <c r="R31" s="19">
        <v>45323</v>
      </c>
      <c r="S31" s="19">
        <v>45352</v>
      </c>
      <c r="T31" s="19">
        <v>45383</v>
      </c>
      <c r="U31" s="19">
        <v>45413</v>
      </c>
      <c r="V31" s="19">
        <v>45444</v>
      </c>
      <c r="W31" s="19">
        <v>45474</v>
      </c>
      <c r="X31" s="19">
        <v>45505</v>
      </c>
      <c r="Y31" s="19">
        <v>45536</v>
      </c>
      <c r="Z31" s="19">
        <v>45566</v>
      </c>
      <c r="AA31" s="19">
        <v>45597</v>
      </c>
      <c r="AB31" s="19">
        <v>45627</v>
      </c>
      <c r="AC31" s="19">
        <v>45658</v>
      </c>
      <c r="AD31" s="19">
        <v>45689</v>
      </c>
      <c r="AE31" s="19">
        <v>45717</v>
      </c>
    </row>
    <row r="32" spans="1:34" ht="16.350000000000001" customHeight="1">
      <c r="B32" s="44" t="s">
        <v>100</v>
      </c>
      <c r="C32" s="39" t="s">
        <v>88</v>
      </c>
      <c r="D32" s="39"/>
      <c r="E32" s="33"/>
    </row>
    <row r="33" spans="1:34" ht="16.350000000000001" customHeight="1">
      <c r="B33" s="40" t="s">
        <v>83</v>
      </c>
      <c r="C33" s="39" t="s">
        <v>88</v>
      </c>
      <c r="D33" s="37"/>
      <c r="E33" s="33"/>
    </row>
    <row r="34" spans="1:34" ht="16.350000000000001" customHeight="1">
      <c r="B34" s="40" t="s">
        <v>101</v>
      </c>
      <c r="C34" s="39" t="s">
        <v>88</v>
      </c>
      <c r="D34" s="37"/>
      <c r="E34" s="33"/>
    </row>
    <row r="35" spans="1:34" ht="16.350000000000001" customHeight="1">
      <c r="B35" s="40" t="s">
        <v>84</v>
      </c>
      <c r="C35" s="39" t="s">
        <v>88</v>
      </c>
      <c r="D35" s="39"/>
      <c r="E35" s="33"/>
    </row>
    <row r="36" spans="1:34" ht="16.350000000000001" customHeight="1">
      <c r="B36" s="40" t="s">
        <v>85</v>
      </c>
      <c r="C36" s="39" t="s">
        <v>88</v>
      </c>
      <c r="D36" s="39"/>
      <c r="E36" s="33"/>
    </row>
    <row r="37" spans="1:34" ht="16.350000000000001" customHeight="1">
      <c r="B37" s="40" t="s">
        <v>86</v>
      </c>
      <c r="C37" s="39" t="s">
        <v>88</v>
      </c>
      <c r="D37" s="39"/>
      <c r="E37" s="33"/>
    </row>
    <row r="38" spans="1:34" ht="16.350000000000001" customHeight="1">
      <c r="B38" s="40" t="s">
        <v>1</v>
      </c>
      <c r="C38" s="39" t="s">
        <v>88</v>
      </c>
      <c r="D38" s="39"/>
      <c r="E38" s="33"/>
    </row>
    <row r="39" spans="1:34" ht="16.350000000000001" customHeight="1">
      <c r="B39" s="41" t="s">
        <v>0</v>
      </c>
      <c r="C39" s="39" t="s">
        <v>88</v>
      </c>
      <c r="D39" s="39"/>
      <c r="E39" s="34"/>
    </row>
    <row r="40" spans="1:34" ht="16.350000000000001" customHeight="1">
      <c r="B40" s="42"/>
      <c r="C40" s="39"/>
      <c r="D40" s="3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34" s="6" customFormat="1" ht="15.75" customHeight="1" thickBot="1">
      <c r="A41" s="3" t="s">
        <v>89</v>
      </c>
      <c r="B41" s="4"/>
      <c r="C41" s="4" t="s">
        <v>20</v>
      </c>
      <c r="D41" s="4" t="s">
        <v>21</v>
      </c>
      <c r="E41" s="19">
        <v>44927</v>
      </c>
      <c r="F41" s="19">
        <v>44958</v>
      </c>
      <c r="G41" s="19">
        <v>44986</v>
      </c>
      <c r="H41" s="19">
        <v>45017</v>
      </c>
      <c r="I41" s="19">
        <v>45047</v>
      </c>
      <c r="J41" s="19">
        <v>45078</v>
      </c>
      <c r="K41" s="19">
        <v>45108</v>
      </c>
      <c r="L41" s="19">
        <v>45139</v>
      </c>
      <c r="M41" s="19">
        <v>45170</v>
      </c>
      <c r="N41" s="19">
        <v>45200</v>
      </c>
      <c r="O41" s="19">
        <v>45231</v>
      </c>
      <c r="P41" s="19">
        <v>45261</v>
      </c>
      <c r="Q41" s="19">
        <v>45292</v>
      </c>
      <c r="R41" s="19">
        <v>45323</v>
      </c>
      <c r="S41" s="19">
        <v>45352</v>
      </c>
      <c r="T41" s="19">
        <v>45383</v>
      </c>
      <c r="U41" s="19">
        <v>45413</v>
      </c>
      <c r="V41" s="19">
        <v>45444</v>
      </c>
      <c r="W41" s="19">
        <v>45474</v>
      </c>
      <c r="X41" s="19">
        <v>45505</v>
      </c>
      <c r="Y41" s="19">
        <v>45536</v>
      </c>
      <c r="Z41" s="19">
        <v>45566</v>
      </c>
      <c r="AA41" s="19">
        <v>45597</v>
      </c>
      <c r="AB41" s="19">
        <v>45627</v>
      </c>
      <c r="AC41" s="19">
        <v>45658</v>
      </c>
      <c r="AD41" s="19">
        <v>45689</v>
      </c>
      <c r="AE41" s="19">
        <v>45717</v>
      </c>
      <c r="AF41" s="19">
        <v>45748</v>
      </c>
      <c r="AG41" s="19">
        <v>45778</v>
      </c>
      <c r="AH41" s="19">
        <v>45809</v>
      </c>
    </row>
    <row r="42" spans="1:34" ht="16.350000000000001" customHeight="1">
      <c r="B42" s="44" t="s">
        <v>111</v>
      </c>
      <c r="C42" s="39" t="s">
        <v>119</v>
      </c>
      <c r="D42" s="37"/>
      <c r="E42" s="64">
        <v>151887581.18650103</v>
      </c>
      <c r="F42" s="64">
        <v>139885268.54100001</v>
      </c>
      <c r="G42" s="64">
        <v>149722310.35611501</v>
      </c>
      <c r="H42" s="64">
        <v>137219048.70118177</v>
      </c>
      <c r="I42" s="64">
        <v>147506332.82872003</v>
      </c>
      <c r="J42" s="64">
        <v>150749426.65304998</v>
      </c>
      <c r="K42" s="64">
        <v>166174901.33248502</v>
      </c>
      <c r="L42" s="64">
        <v>170676592.95917505</v>
      </c>
      <c r="M42" s="64">
        <v>157101704.12269598</v>
      </c>
      <c r="N42" s="64">
        <v>160311038.32073</v>
      </c>
      <c r="O42" s="64">
        <v>170084527.81910002</v>
      </c>
      <c r="P42" s="64">
        <v>194107243.01742506</v>
      </c>
      <c r="Q42" s="64">
        <v>217966573.96767005</v>
      </c>
      <c r="R42" s="64">
        <v>198296061.82452002</v>
      </c>
      <c r="S42" s="64">
        <v>175930881.39677003</v>
      </c>
      <c r="T42" s="64">
        <v>175769106.62091997</v>
      </c>
      <c r="U42" s="64">
        <v>193929252.546</v>
      </c>
      <c r="V42" s="64">
        <v>201582984.44416797</v>
      </c>
      <c r="W42" s="64">
        <v>223288259.094042</v>
      </c>
      <c r="X42" s="64">
        <v>236158460.62873396</v>
      </c>
      <c r="Y42" s="64">
        <v>216047581.05757543</v>
      </c>
      <c r="Z42" s="64">
        <v>223978342.67885002</v>
      </c>
      <c r="AA42" s="64">
        <v>237528322.56737003</v>
      </c>
      <c r="AB42" s="64">
        <v>278107283.85861504</v>
      </c>
      <c r="AC42" s="64">
        <v>250247929.14584723</v>
      </c>
      <c r="AD42" s="64">
        <v>242106663.71519491</v>
      </c>
      <c r="AE42" s="64">
        <v>229830599.9428789</v>
      </c>
      <c r="AF42" s="64">
        <v>256538298.38354397</v>
      </c>
      <c r="AG42" s="64">
        <v>305660138.75575197</v>
      </c>
      <c r="AH42" s="64">
        <v>313391312.97567987</v>
      </c>
    </row>
    <row r="43" spans="1:34" ht="16.350000000000001" customHeight="1">
      <c r="B43" s="40" t="s">
        <v>112</v>
      </c>
      <c r="C43" s="39" t="s">
        <v>119</v>
      </c>
      <c r="D43" s="39"/>
      <c r="E43" s="64">
        <v>709407.23399999994</v>
      </c>
      <c r="F43" s="64">
        <v>171727.17199999999</v>
      </c>
      <c r="G43" s="64">
        <v>1771062.0750000002</v>
      </c>
      <c r="H43" s="64">
        <v>743095.86100000003</v>
      </c>
      <c r="I43" s="64">
        <v>145544.41199999955</v>
      </c>
      <c r="J43" s="64">
        <v>-315002.26900000125</v>
      </c>
      <c r="K43" s="64">
        <v>75167.688000000082</v>
      </c>
      <c r="L43" s="64">
        <v>53180.944000000134</v>
      </c>
      <c r="M43" s="64">
        <v>71675.449000000954</v>
      </c>
      <c r="N43" s="64">
        <v>433890.46700000018</v>
      </c>
      <c r="O43" s="64">
        <v>597299.23699999973</v>
      </c>
      <c r="P43" s="64">
        <v>603679.41700000037</v>
      </c>
      <c r="Q43" s="64">
        <v>566304.81600000011</v>
      </c>
      <c r="R43" s="64">
        <v>529191.92400000012</v>
      </c>
      <c r="S43" s="64">
        <v>573095.72800000012</v>
      </c>
      <c r="T43" s="64">
        <v>490997.74200000009</v>
      </c>
      <c r="U43" s="64">
        <v>45513.446999999695</v>
      </c>
      <c r="V43" s="64">
        <v>87201.325000000186</v>
      </c>
      <c r="W43" s="64">
        <v>125821.00699999928</v>
      </c>
      <c r="X43" s="64">
        <v>107721.8909999989</v>
      </c>
      <c r="Y43" s="64">
        <v>100599.02400000021</v>
      </c>
      <c r="Z43" s="64">
        <v>557356.67900000047</v>
      </c>
      <c r="AA43" s="64">
        <v>1118283.2719000001</v>
      </c>
      <c r="AB43" s="64">
        <v>646450.04330000014</v>
      </c>
      <c r="AC43" s="64">
        <v>672522.73399999994</v>
      </c>
      <c r="AD43" s="64">
        <v>608655.58999999985</v>
      </c>
      <c r="AE43" s="64">
        <v>1275920.1231209999</v>
      </c>
      <c r="AF43" s="64">
        <v>246960.58814699983</v>
      </c>
      <c r="AG43" s="64">
        <v>120653.29878599988</v>
      </c>
      <c r="AH43" s="64">
        <v>103061.25399999972</v>
      </c>
    </row>
    <row r="44" spans="1:34" ht="16.350000000000001" customHeight="1">
      <c r="B44" s="40" t="s">
        <v>113</v>
      </c>
      <c r="C44" s="39" t="s">
        <v>119</v>
      </c>
      <c r="D44" s="39"/>
      <c r="E44" s="64">
        <v>1421566.00951</v>
      </c>
      <c r="F44" s="64">
        <v>1231411.3130000001</v>
      </c>
      <c r="G44" s="64">
        <v>858306.86903000006</v>
      </c>
      <c r="H44" s="64">
        <v>622792.75272500003</v>
      </c>
      <c r="I44" s="64">
        <v>558472.70846500003</v>
      </c>
      <c r="J44" s="64">
        <v>652490.39064999996</v>
      </c>
      <c r="K44" s="64">
        <v>1453737.04786</v>
      </c>
      <c r="L44" s="64">
        <v>475660.69236999995</v>
      </c>
      <c r="M44" s="64">
        <v>529265.44894499995</v>
      </c>
      <c r="N44" s="64">
        <v>529461.43151500006</v>
      </c>
      <c r="O44" s="64">
        <v>1088627.2114549999</v>
      </c>
      <c r="P44" s="64">
        <v>1114336.40741</v>
      </c>
      <c r="Q44" s="64">
        <v>1089969.1411420002</v>
      </c>
      <c r="R44" s="64">
        <v>1346623.2139560003</v>
      </c>
      <c r="S44" s="64">
        <v>817565.30275600008</v>
      </c>
      <c r="T44" s="64">
        <v>684872.18707999995</v>
      </c>
      <c r="U44" s="64">
        <v>609940.66299999994</v>
      </c>
      <c r="V44" s="64">
        <v>589093.85901599994</v>
      </c>
      <c r="W44" s="64">
        <v>698613.30318200006</v>
      </c>
      <c r="X44" s="64">
        <v>687512.69963799999</v>
      </c>
      <c r="Y44" s="64">
        <v>673504.4514260001</v>
      </c>
      <c r="Z44" s="64">
        <v>854084.72866800008</v>
      </c>
      <c r="AA44" s="64">
        <v>1106405.379434</v>
      </c>
      <c r="AB44" s="64">
        <v>1577787.312314</v>
      </c>
      <c r="AC44" s="64">
        <v>1530947.253124</v>
      </c>
      <c r="AD44" s="64">
        <v>1482583.905148</v>
      </c>
      <c r="AE44" s="64">
        <v>949801.09074000001</v>
      </c>
      <c r="AF44" s="64">
        <v>813132.34602699988</v>
      </c>
      <c r="AG44" s="64">
        <v>943223.92164900003</v>
      </c>
      <c r="AH44" s="64">
        <v>767427.83741099993</v>
      </c>
    </row>
    <row r="45" spans="1:34" ht="16.350000000000001" customHeight="1">
      <c r="B45" s="40" t="s">
        <v>114</v>
      </c>
      <c r="C45" s="39" t="s">
        <v>119</v>
      </c>
      <c r="D45" s="39"/>
      <c r="E45" s="64">
        <v>28309629.345964998</v>
      </c>
      <c r="F45" s="64">
        <v>19922134.496000003</v>
      </c>
      <c r="G45" s="64">
        <v>17547703.863805</v>
      </c>
      <c r="H45" s="64">
        <v>10848089.662813054</v>
      </c>
      <c r="I45" s="64">
        <v>10790554.280424999</v>
      </c>
      <c r="J45" s="64">
        <v>12074985.088945001</v>
      </c>
      <c r="K45" s="64">
        <v>12281337.47266</v>
      </c>
      <c r="L45" s="64">
        <v>11602438.378164999</v>
      </c>
      <c r="M45" s="64">
        <v>11054800.050890002</v>
      </c>
      <c r="N45" s="64">
        <v>12054572.412380002</v>
      </c>
      <c r="O45" s="64">
        <v>17161417.317049999</v>
      </c>
      <c r="P45" s="64">
        <v>21955303.868685</v>
      </c>
      <c r="Q45" s="64">
        <v>25768967.150049999</v>
      </c>
      <c r="R45" s="64">
        <v>27100267.35605</v>
      </c>
      <c r="S45" s="64">
        <v>19663450.382550001</v>
      </c>
      <c r="T45" s="64">
        <v>13934857.601049999</v>
      </c>
      <c r="U45" s="64">
        <v>14059135.935600001</v>
      </c>
      <c r="V45" s="64">
        <v>13903879.337350002</v>
      </c>
      <c r="W45" s="64">
        <v>15021954.386540001</v>
      </c>
      <c r="X45" s="64">
        <v>15960525.357881</v>
      </c>
      <c r="Y45" s="64">
        <v>13614708.081449999</v>
      </c>
      <c r="Z45" s="64">
        <v>15721418.9036</v>
      </c>
      <c r="AA45" s="64">
        <v>22025786.55384</v>
      </c>
      <c r="AB45" s="64">
        <v>27424203.410464</v>
      </c>
      <c r="AC45" s="64">
        <v>30003977.173149996</v>
      </c>
      <c r="AD45" s="64">
        <v>24807554.826000001</v>
      </c>
      <c r="AE45" s="64">
        <v>23792477.353866998</v>
      </c>
      <c r="AF45" s="64">
        <v>17100453.844574001</v>
      </c>
      <c r="AG45" s="64">
        <v>16318023.034345999</v>
      </c>
      <c r="AH45" s="64">
        <v>18753061.885770001</v>
      </c>
    </row>
    <row r="46" spans="1:34" ht="16.350000000000001" customHeight="1">
      <c r="B46" s="40" t="s">
        <v>85</v>
      </c>
      <c r="C46" s="39" t="s">
        <v>119</v>
      </c>
      <c r="D46" s="39"/>
      <c r="E46" s="64">
        <v>4491048.8644000003</v>
      </c>
      <c r="F46" s="64">
        <v>3407379.46</v>
      </c>
      <c r="G46" s="64">
        <v>11283049.037100002</v>
      </c>
      <c r="H46" s="64">
        <v>19896666.318999998</v>
      </c>
      <c r="I46" s="64">
        <v>27702000.118000001</v>
      </c>
      <c r="J46" s="64">
        <v>34317509.734999999</v>
      </c>
      <c r="K46" s="64">
        <v>36924255.403520003</v>
      </c>
      <c r="L46" s="64">
        <v>33052459.813999999</v>
      </c>
      <c r="M46" s="64">
        <v>24775052.452999994</v>
      </c>
      <c r="N46" s="64">
        <v>8432131.8747000005</v>
      </c>
      <c r="O46" s="64">
        <v>5877583.5978999995</v>
      </c>
      <c r="P46" s="64">
        <v>4926880.9887999995</v>
      </c>
      <c r="Q46" s="64">
        <v>5283031.858</v>
      </c>
      <c r="R46" s="64">
        <v>6265424.6509999996</v>
      </c>
      <c r="S46" s="64">
        <v>3473140.9650000008</v>
      </c>
      <c r="T46" s="64">
        <v>11025794.728300001</v>
      </c>
      <c r="U46" s="64">
        <v>25651604.722999997</v>
      </c>
      <c r="V46" s="64">
        <v>30553817.364200003</v>
      </c>
      <c r="W46" s="64">
        <v>34752063.041499995</v>
      </c>
      <c r="X46" s="64">
        <v>37651233.770299993</v>
      </c>
      <c r="Y46" s="64">
        <v>22519770.422200002</v>
      </c>
      <c r="Z46" s="64">
        <v>12299925.193</v>
      </c>
      <c r="AA46" s="64">
        <v>5576496.2190000005</v>
      </c>
      <c r="AB46" s="64">
        <v>3510945.5591100003</v>
      </c>
      <c r="AC46" s="64">
        <v>4716923.011500001</v>
      </c>
      <c r="AD46" s="64">
        <v>4328648.12</v>
      </c>
      <c r="AE46" s="64">
        <v>9486264.090530999</v>
      </c>
      <c r="AF46" s="64">
        <v>19173201.457902998</v>
      </c>
      <c r="AG46" s="64">
        <v>41573573.849381</v>
      </c>
      <c r="AH46" s="64">
        <v>45290983.993180998</v>
      </c>
    </row>
    <row r="47" spans="1:34" ht="16.350000000000001" customHeight="1">
      <c r="B47" s="40" t="s">
        <v>115</v>
      </c>
      <c r="C47" s="39" t="s">
        <v>119</v>
      </c>
      <c r="D47" s="39"/>
      <c r="E47" s="64">
        <v>9752779.9378000014</v>
      </c>
      <c r="F47" s="64">
        <v>6957505.2279999992</v>
      </c>
      <c r="G47" s="64">
        <v>7285622.6370000001</v>
      </c>
      <c r="H47" s="64">
        <v>5302671.5713</v>
      </c>
      <c r="I47" s="64">
        <v>6791970.9540000008</v>
      </c>
      <c r="J47" s="64">
        <v>6345339.8449999997</v>
      </c>
      <c r="K47" s="64">
        <v>6227991.0949400002</v>
      </c>
      <c r="L47" s="64">
        <v>7045988.5619999999</v>
      </c>
      <c r="M47" s="64">
        <v>5548454.2479000008</v>
      </c>
      <c r="N47" s="64">
        <v>5841719.6023999993</v>
      </c>
      <c r="O47" s="64">
        <v>7968852.7320000008</v>
      </c>
      <c r="P47" s="64">
        <v>6357169.5390999997</v>
      </c>
      <c r="Q47" s="64">
        <v>7851408.3590000002</v>
      </c>
      <c r="R47" s="64">
        <v>8197812.7596000005</v>
      </c>
      <c r="S47" s="64">
        <v>6913882.7946999995</v>
      </c>
      <c r="T47" s="64">
        <v>6548351.9866000004</v>
      </c>
      <c r="U47" s="64">
        <v>6608756.6866999995</v>
      </c>
      <c r="V47" s="64">
        <v>8550053.5536000002</v>
      </c>
      <c r="W47" s="64">
        <v>9412025.3602230009</v>
      </c>
      <c r="X47" s="64">
        <v>8718654.8911719993</v>
      </c>
      <c r="Y47" s="64">
        <v>7596853.3350129994</v>
      </c>
      <c r="Z47" s="64">
        <v>8061811.2070200006</v>
      </c>
      <c r="AA47" s="64">
        <v>9282830.6638300009</v>
      </c>
      <c r="AB47" s="64">
        <v>10301952.98965</v>
      </c>
      <c r="AC47" s="64">
        <v>9737482.0144999996</v>
      </c>
      <c r="AD47" s="64">
        <v>7149544.3502470013</v>
      </c>
      <c r="AE47" s="64">
        <v>7931926.456894001</v>
      </c>
      <c r="AF47" s="64">
        <v>5894969.9704219997</v>
      </c>
      <c r="AG47" s="64">
        <v>5922812.3564950004</v>
      </c>
      <c r="AH47" s="64">
        <v>7267001.8430359997</v>
      </c>
    </row>
    <row r="48" spans="1:34" ht="16.350000000000001" customHeight="1">
      <c r="B48" s="40" t="s">
        <v>116</v>
      </c>
      <c r="C48" s="39" t="s">
        <v>119</v>
      </c>
      <c r="D48" s="39"/>
      <c r="E48" s="64">
        <v>1375120.7650000001</v>
      </c>
      <c r="F48" s="64">
        <v>777274.924</v>
      </c>
      <c r="G48" s="64">
        <v>1871009.6640000001</v>
      </c>
      <c r="H48" s="64">
        <v>1137428.9099999999</v>
      </c>
      <c r="I48" s="64">
        <v>2170785.67</v>
      </c>
      <c r="J48" s="64">
        <v>3185060.6879999996</v>
      </c>
      <c r="K48" s="64">
        <v>3509511.588</v>
      </c>
      <c r="L48" s="64">
        <v>2372015.8260000004</v>
      </c>
      <c r="M48" s="64">
        <v>1333062.6379999998</v>
      </c>
      <c r="N48" s="64">
        <v>870108.60800000001</v>
      </c>
      <c r="O48" s="64">
        <v>737761.95199999982</v>
      </c>
      <c r="P48" s="64">
        <v>1123118.122</v>
      </c>
      <c r="Q48" s="64">
        <v>1315879.5750000002</v>
      </c>
      <c r="R48" s="64">
        <v>873889.86979999999</v>
      </c>
      <c r="S48" s="64">
        <v>919224.59720000008</v>
      </c>
      <c r="T48" s="64">
        <v>2147233.2070999998</v>
      </c>
      <c r="U48" s="64">
        <v>6059809.5869999994</v>
      </c>
      <c r="V48" s="64">
        <v>11273257.820999999</v>
      </c>
      <c r="W48" s="64">
        <v>12425741.308</v>
      </c>
      <c r="X48" s="64">
        <v>6483767.5099999998</v>
      </c>
      <c r="Y48" s="64">
        <v>4330326.5125000002</v>
      </c>
      <c r="Z48" s="64">
        <v>1707874.4762999997</v>
      </c>
      <c r="AA48" s="64">
        <v>1223482.71</v>
      </c>
      <c r="AB48" s="64">
        <v>1535309.1914999997</v>
      </c>
      <c r="AC48" s="64">
        <v>1266902.017</v>
      </c>
      <c r="AD48" s="64">
        <v>1240735.8</v>
      </c>
      <c r="AE48" s="64">
        <v>2230547.4458245793</v>
      </c>
      <c r="AF48" s="64">
        <v>1707833.7119999998</v>
      </c>
      <c r="AG48" s="64">
        <v>1751353.69</v>
      </c>
      <c r="AH48" s="64">
        <v>849789.74469999992</v>
      </c>
    </row>
    <row r="49" spans="1:34" ht="16.350000000000001" customHeight="1">
      <c r="B49" s="40" t="s">
        <v>117</v>
      </c>
      <c r="C49" s="39" t="s">
        <v>119</v>
      </c>
      <c r="D49" s="39"/>
      <c r="E49" s="64">
        <v>26184761.219999999</v>
      </c>
      <c r="F49" s="64">
        <v>23323610.340000004</v>
      </c>
      <c r="G49" s="64">
        <v>25028535.920000002</v>
      </c>
      <c r="H49" s="64">
        <v>24155079.960000001</v>
      </c>
      <c r="I49" s="64">
        <v>18912950.099999998</v>
      </c>
      <c r="J49" s="64">
        <v>21507028.940000001</v>
      </c>
      <c r="K49" s="64">
        <v>22713823</v>
      </c>
      <c r="L49" s="64">
        <v>23451563.880000003</v>
      </c>
      <c r="M49" s="64">
        <v>22894287.330000002</v>
      </c>
      <c r="N49" s="64">
        <v>23918610.940000001</v>
      </c>
      <c r="O49" s="64">
        <v>23424969.239999998</v>
      </c>
      <c r="P49" s="64">
        <v>24770316.740000002</v>
      </c>
      <c r="Q49" s="64">
        <v>29500489.959999997</v>
      </c>
      <c r="R49" s="64">
        <v>27989389.800000001</v>
      </c>
      <c r="S49" s="64">
        <v>29780046.239999998</v>
      </c>
      <c r="T49" s="64">
        <v>28909264.789999999</v>
      </c>
      <c r="U49" s="64">
        <v>30063188.664999999</v>
      </c>
      <c r="V49" s="64">
        <v>29513183.149999999</v>
      </c>
      <c r="W49" s="64">
        <v>31062744.149999999</v>
      </c>
      <c r="X49" s="64">
        <v>31601393.239999998</v>
      </c>
      <c r="Y49" s="64">
        <v>30771543.119999997</v>
      </c>
      <c r="Z49" s="64">
        <v>31945221.509000003</v>
      </c>
      <c r="AA49" s="64">
        <v>32063566.744680002</v>
      </c>
      <c r="AB49" s="64">
        <v>35630615.528999999</v>
      </c>
      <c r="AC49" s="64">
        <v>37011849.915199995</v>
      </c>
      <c r="AD49" s="64">
        <v>33600565.450999998</v>
      </c>
      <c r="AE49" s="64">
        <v>37265091.387400001</v>
      </c>
      <c r="AF49" s="64">
        <v>41245818.608599998</v>
      </c>
      <c r="AG49" s="64">
        <v>41859337.675800003</v>
      </c>
      <c r="AH49" s="64">
        <v>39232047.585199997</v>
      </c>
    </row>
    <row r="50" spans="1:34" ht="16.350000000000001" customHeight="1">
      <c r="B50" s="40" t="s">
        <v>118</v>
      </c>
      <c r="C50" s="39" t="s">
        <v>119</v>
      </c>
      <c r="D50" s="39"/>
      <c r="E50" s="64">
        <v>408405.19</v>
      </c>
      <c r="F50" s="64">
        <v>302712.53000000003</v>
      </c>
      <c r="G50" s="64">
        <v>209905.42</v>
      </c>
      <c r="H50" s="64">
        <v>181610.8884</v>
      </c>
      <c r="I50" s="64">
        <v>103148.67</v>
      </c>
      <c r="J50" s="64">
        <v>0</v>
      </c>
      <c r="K50" s="64">
        <v>0</v>
      </c>
      <c r="L50" s="64">
        <v>285094.30119999999</v>
      </c>
      <c r="M50" s="64">
        <v>0</v>
      </c>
      <c r="N50" s="64">
        <v>0</v>
      </c>
      <c r="O50" s="64">
        <v>372710.58</v>
      </c>
      <c r="P50" s="64">
        <v>307510.03999999998</v>
      </c>
      <c r="Q50" s="64">
        <v>404906.92</v>
      </c>
      <c r="R50" s="64">
        <v>405383.8</v>
      </c>
      <c r="S50" s="64">
        <v>199459.75</v>
      </c>
      <c r="T50" s="64">
        <v>185053.04</v>
      </c>
      <c r="U50" s="64">
        <v>254246.62</v>
      </c>
      <c r="V50" s="64">
        <v>233304.35</v>
      </c>
      <c r="W50" s="64">
        <v>268180.98</v>
      </c>
      <c r="X50" s="64">
        <v>314995.90000000002</v>
      </c>
      <c r="Y50" s="64">
        <v>244162.4</v>
      </c>
      <c r="Z50" s="64">
        <v>238425.15</v>
      </c>
      <c r="AA50" s="64">
        <v>374189.59</v>
      </c>
      <c r="AB50" s="64">
        <v>509242.93</v>
      </c>
      <c r="AC50" s="64">
        <v>554513.29</v>
      </c>
      <c r="AD50" s="64">
        <v>429193.03</v>
      </c>
      <c r="AE50" s="64">
        <v>358932.21</v>
      </c>
      <c r="AF50" s="64">
        <v>271390.25</v>
      </c>
      <c r="AG50" s="64">
        <v>266961.27</v>
      </c>
      <c r="AH50" s="64">
        <v>297853.03000000003</v>
      </c>
    </row>
    <row r="51" spans="1:34" ht="16.350000000000001" customHeight="1">
      <c r="B51" s="40" t="s">
        <v>101</v>
      </c>
      <c r="C51" s="39" t="s">
        <v>119</v>
      </c>
      <c r="D51" s="39"/>
      <c r="E51" s="64"/>
      <c r="F51" s="64"/>
      <c r="G51" s="64"/>
      <c r="H51" s="64"/>
      <c r="I51" s="64">
        <v>5971461.4800000004</v>
      </c>
      <c r="J51" s="64">
        <v>10583479.341100002</v>
      </c>
      <c r="K51" s="64">
        <v>6497687.6799999997</v>
      </c>
      <c r="L51" s="64">
        <v>7304350.1200000001</v>
      </c>
      <c r="M51" s="64">
        <v>6393094.7199999997</v>
      </c>
      <c r="N51" s="64">
        <v>6409927.04</v>
      </c>
      <c r="O51" s="64">
        <v>6731500.1600000001</v>
      </c>
      <c r="P51" s="64">
        <v>4008138.24</v>
      </c>
      <c r="Q51" s="64">
        <v>2109539.0284799999</v>
      </c>
      <c r="R51" s="64">
        <v>3231316.1376</v>
      </c>
      <c r="S51" s="64">
        <v>2422565.9193599997</v>
      </c>
      <c r="T51" s="64">
        <v>2449692.15</v>
      </c>
      <c r="U51" s="64">
        <v>7291436.5800000001</v>
      </c>
      <c r="V51" s="64">
        <v>7420912.0800000001</v>
      </c>
      <c r="W51" s="64">
        <v>7985185.4495999999</v>
      </c>
      <c r="X51" s="64">
        <v>8455558.8979200013</v>
      </c>
      <c r="Y51" s="64">
        <v>7613049.54</v>
      </c>
      <c r="Z51" s="64">
        <v>6284290.4100000001</v>
      </c>
      <c r="AA51" s="64">
        <v>723946.75595999998</v>
      </c>
      <c r="AB51" s="64">
        <v>144334.96</v>
      </c>
      <c r="AC51" s="64">
        <v>432941.44845600001</v>
      </c>
      <c r="AD51" s="64">
        <v>1228433.6000000001</v>
      </c>
      <c r="AE51" s="64">
        <v>1012782.37</v>
      </c>
      <c r="AF51" s="64">
        <v>909300.08</v>
      </c>
      <c r="AG51" s="64">
        <v>1960913.55</v>
      </c>
      <c r="AH51" s="64">
        <v>4659175.04</v>
      </c>
    </row>
    <row r="52" spans="1:34" ht="16.350000000000001" customHeight="1">
      <c r="B52" s="40" t="s">
        <v>86</v>
      </c>
      <c r="C52" s="39" t="s">
        <v>119</v>
      </c>
      <c r="D52" s="39"/>
      <c r="E52" s="64">
        <v>244314200.70309997</v>
      </c>
      <c r="F52" s="64">
        <v>167662170.23199999</v>
      </c>
      <c r="G52" s="64">
        <v>124614241.4764</v>
      </c>
      <c r="H52" s="64">
        <v>106350296.92217663</v>
      </c>
      <c r="I52" s="64">
        <v>93117796.716625005</v>
      </c>
      <c r="J52" s="64">
        <v>94525456.111900017</v>
      </c>
      <c r="K52" s="64">
        <v>100785630.2343</v>
      </c>
      <c r="L52" s="64">
        <v>95367409.210399985</v>
      </c>
      <c r="M52" s="64">
        <v>87651341.365700006</v>
      </c>
      <c r="N52" s="64">
        <v>102221026.21260001</v>
      </c>
      <c r="O52" s="64">
        <v>132386827.5571</v>
      </c>
      <c r="P52" s="64">
        <v>201656552.60190001</v>
      </c>
      <c r="Q52" s="64">
        <v>231360283.30300006</v>
      </c>
      <c r="R52" s="64">
        <v>220902989.65600002</v>
      </c>
      <c r="S52" s="64">
        <v>165618831.11800003</v>
      </c>
      <c r="T52" s="64">
        <v>123461024.41700001</v>
      </c>
      <c r="U52" s="64">
        <v>114704503.91800001</v>
      </c>
      <c r="V52" s="64">
        <v>116654105.42243399</v>
      </c>
      <c r="W52" s="64">
        <v>129902805.98394902</v>
      </c>
      <c r="X52" s="64">
        <v>133146921.81694199</v>
      </c>
      <c r="Y52" s="64">
        <v>109483185.76891199</v>
      </c>
      <c r="Z52" s="64">
        <v>128149266.20254999</v>
      </c>
      <c r="AA52" s="64">
        <v>188945837.51859999</v>
      </c>
      <c r="AB52" s="64">
        <v>269497043.44249302</v>
      </c>
      <c r="AC52" s="64">
        <v>267804223.08926004</v>
      </c>
      <c r="AD52" s="64">
        <v>222187124.18977803</v>
      </c>
      <c r="AE52" s="64">
        <v>204164845.73473698</v>
      </c>
      <c r="AF52" s="64">
        <v>162985120.83356899</v>
      </c>
      <c r="AG52" s="64">
        <v>159140856.19554701</v>
      </c>
      <c r="AH52" s="64">
        <v>169993308.70076698</v>
      </c>
    </row>
    <row r="53" spans="1:34" ht="16.350000000000001" customHeight="1">
      <c r="B53" s="40" t="s">
        <v>2</v>
      </c>
      <c r="C53" s="39" t="s">
        <v>119</v>
      </c>
      <c r="D53" s="3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5"/>
    </row>
    <row r="54" spans="1:34" ht="16.350000000000001" customHeight="1">
      <c r="B54" s="41" t="s">
        <v>108</v>
      </c>
      <c r="C54" s="39" t="s">
        <v>119</v>
      </c>
      <c r="D54" s="39"/>
      <c r="E54" s="66">
        <f>SUBTOTAL(9,E42:E52)</f>
        <v>468854500.45627594</v>
      </c>
      <c r="F54" s="66">
        <f t="shared" ref="F54:AH54" si="17">SUBTOTAL(9,F42:F52)</f>
        <v>363641194.23599994</v>
      </c>
      <c r="G54" s="66">
        <f t="shared" si="17"/>
        <v>340191747.31844997</v>
      </c>
      <c r="H54" s="66">
        <f t="shared" si="17"/>
        <v>306456781.5485965</v>
      </c>
      <c r="I54" s="66">
        <f t="shared" si="17"/>
        <v>313771017.93823504</v>
      </c>
      <c r="J54" s="66">
        <f>SUBTOTAL(9,J42:J52)</f>
        <v>333625774.52464497</v>
      </c>
      <c r="K54" s="66">
        <f t="shared" si="17"/>
        <v>356644042.54176503</v>
      </c>
      <c r="L54" s="66">
        <f t="shared" si="17"/>
        <v>351686754.6873101</v>
      </c>
      <c r="M54" s="66">
        <f t="shared" si="17"/>
        <v>317352737.82613099</v>
      </c>
      <c r="N54" s="66">
        <f t="shared" si="17"/>
        <v>321022486.90932506</v>
      </c>
      <c r="O54" s="66">
        <f t="shared" si="17"/>
        <v>366432077.40360498</v>
      </c>
      <c r="P54" s="66">
        <f t="shared" si="17"/>
        <v>460930248.98232007</v>
      </c>
      <c r="Q54" s="66">
        <f t="shared" si="17"/>
        <v>523217354.07834208</v>
      </c>
      <c r="R54" s="66">
        <f t="shared" si="17"/>
        <v>495138350.99252605</v>
      </c>
      <c r="S54" s="66">
        <f t="shared" si="17"/>
        <v>406312144.19433612</v>
      </c>
      <c r="T54" s="66">
        <f t="shared" si="17"/>
        <v>365606248.47004998</v>
      </c>
      <c r="U54" s="66">
        <f t="shared" si="17"/>
        <v>399277389.37129998</v>
      </c>
      <c r="V54" s="66">
        <f t="shared" si="17"/>
        <v>420361792.70676798</v>
      </c>
      <c r="W54" s="66">
        <f t="shared" si="17"/>
        <v>464943394.06403601</v>
      </c>
      <c r="X54" s="66">
        <f t="shared" si="17"/>
        <v>479286746.60358691</v>
      </c>
      <c r="Y54" s="66">
        <f t="shared" si="17"/>
        <v>412995283.71307635</v>
      </c>
      <c r="Z54" s="66">
        <f t="shared" si="17"/>
        <v>429798017.13798803</v>
      </c>
      <c r="AA54" s="66">
        <f t="shared" si="17"/>
        <v>499969147.97461396</v>
      </c>
      <c r="AB54" s="66">
        <f t="shared" si="17"/>
        <v>628885169.22644591</v>
      </c>
      <c r="AC54" s="66">
        <f t="shared" si="17"/>
        <v>603980211.09203732</v>
      </c>
      <c r="AD54" s="66">
        <f t="shared" si="17"/>
        <v>539169702.57736802</v>
      </c>
      <c r="AE54" s="66">
        <f t="shared" si="17"/>
        <v>518299188.20599341</v>
      </c>
      <c r="AF54" s="66">
        <f t="shared" si="17"/>
        <v>506886480.07478595</v>
      </c>
      <c r="AG54" s="66">
        <f t="shared" si="17"/>
        <v>575517847.59775603</v>
      </c>
      <c r="AH54" s="66">
        <f t="shared" si="17"/>
        <v>600605023.88974488</v>
      </c>
    </row>
    <row r="55" spans="1:34" ht="16.350000000000001" customHeight="1">
      <c r="B55" s="18"/>
      <c r="C55" s="39"/>
      <c r="D55" s="39"/>
    </row>
    <row r="56" spans="1:34" s="6" customFormat="1" ht="15.75" customHeight="1" thickBot="1">
      <c r="A56" s="3" t="s">
        <v>97</v>
      </c>
      <c r="B56" s="4"/>
      <c r="C56" s="4" t="s">
        <v>20</v>
      </c>
      <c r="D56" s="4" t="s">
        <v>21</v>
      </c>
      <c r="E56" s="19">
        <v>44927</v>
      </c>
      <c r="F56" s="19">
        <v>44958</v>
      </c>
      <c r="G56" s="19">
        <v>44986</v>
      </c>
      <c r="H56" s="19">
        <v>45017</v>
      </c>
      <c r="I56" s="19">
        <v>45047</v>
      </c>
      <c r="J56" s="19">
        <v>45078</v>
      </c>
      <c r="K56" s="19">
        <v>45108</v>
      </c>
      <c r="L56" s="19">
        <v>45139</v>
      </c>
      <c r="M56" s="19">
        <v>45170</v>
      </c>
      <c r="N56" s="19">
        <v>45200</v>
      </c>
      <c r="O56" s="19">
        <v>45231</v>
      </c>
      <c r="P56" s="19">
        <v>45261</v>
      </c>
      <c r="Q56" s="19">
        <v>45292</v>
      </c>
      <c r="R56" s="19">
        <v>45323</v>
      </c>
      <c r="S56" s="19">
        <v>45352</v>
      </c>
      <c r="T56" s="19">
        <v>45383</v>
      </c>
      <c r="U56" s="19">
        <v>45413</v>
      </c>
      <c r="V56" s="19">
        <v>45444</v>
      </c>
      <c r="W56" s="19">
        <v>45474</v>
      </c>
      <c r="X56" s="19">
        <v>45505</v>
      </c>
      <c r="Y56" s="19">
        <v>45536</v>
      </c>
      <c r="Z56" s="19">
        <v>45566</v>
      </c>
      <c r="AA56" s="19">
        <v>45597</v>
      </c>
      <c r="AB56" s="19">
        <v>45627</v>
      </c>
      <c r="AC56" s="19">
        <v>45658</v>
      </c>
      <c r="AD56" s="19">
        <v>45689</v>
      </c>
      <c r="AE56" s="19">
        <v>45717</v>
      </c>
      <c r="AF56" s="19">
        <v>45748</v>
      </c>
      <c r="AG56" s="19">
        <v>45778</v>
      </c>
      <c r="AH56" s="19">
        <v>45809</v>
      </c>
    </row>
    <row r="57" spans="1:34" ht="16.350000000000001" customHeight="1">
      <c r="B57" s="44" t="s">
        <v>111</v>
      </c>
      <c r="C57" s="39" t="s">
        <v>119</v>
      </c>
      <c r="D57" s="37"/>
      <c r="E57" s="64">
        <v>127736192.02999999</v>
      </c>
      <c r="F57" s="64">
        <v>109762214.60999998</v>
      </c>
      <c r="G57" s="64">
        <v>123687548.85000001</v>
      </c>
      <c r="H57" s="64">
        <v>129488976.09</v>
      </c>
      <c r="I57" s="64">
        <v>128253428.35999997</v>
      </c>
      <c r="J57" s="64">
        <v>163109890.64000002</v>
      </c>
      <c r="K57" s="64">
        <v>148340555.79999998</v>
      </c>
      <c r="L57" s="64">
        <v>160368363.79999998</v>
      </c>
      <c r="M57" s="64">
        <v>165640359.96999997</v>
      </c>
      <c r="N57" s="64">
        <v>145877846.29999995</v>
      </c>
      <c r="O57" s="64">
        <v>155836878.94999999</v>
      </c>
      <c r="P57" s="64">
        <v>241256874.94199997</v>
      </c>
      <c r="Q57" s="64">
        <v>181027014.44999999</v>
      </c>
      <c r="R57" s="64">
        <v>222761576.72</v>
      </c>
      <c r="S57" s="64">
        <v>176058425.49000001</v>
      </c>
      <c r="T57" s="64">
        <v>163296986.41999996</v>
      </c>
      <c r="U57" s="64">
        <v>179677404.86999995</v>
      </c>
      <c r="V57" s="64">
        <v>192226471.77000001</v>
      </c>
      <c r="W57" s="64">
        <v>227098830.44999999</v>
      </c>
      <c r="X57" s="64">
        <v>223990522.67144704</v>
      </c>
      <c r="Y57" s="64">
        <v>232264423.55000001</v>
      </c>
      <c r="Z57" s="64">
        <v>214762496.74000001</v>
      </c>
      <c r="AA57" s="64">
        <v>228987565.26999998</v>
      </c>
      <c r="AB57" s="64">
        <v>227039426.01200002</v>
      </c>
      <c r="AC57" s="64">
        <v>240996202.30999991</v>
      </c>
      <c r="AD57" s="64">
        <v>211431137.38659102</v>
      </c>
      <c r="AE57" s="64">
        <v>210745122.65818202</v>
      </c>
      <c r="AF57" s="64">
        <v>238389264.56582302</v>
      </c>
      <c r="AG57" s="64">
        <v>269889644.479096</v>
      </c>
      <c r="AH57" s="64">
        <v>301981140.65234113</v>
      </c>
    </row>
    <row r="58" spans="1:34" ht="16.350000000000001" customHeight="1">
      <c r="B58" s="40" t="s">
        <v>112</v>
      </c>
      <c r="C58" s="39" t="s">
        <v>119</v>
      </c>
      <c r="D58" s="39"/>
      <c r="E58" s="64">
        <v>196523.23</v>
      </c>
      <c r="F58" s="64">
        <v>10330</v>
      </c>
      <c r="G58" s="64">
        <v>670338</v>
      </c>
      <c r="H58" s="64">
        <v>276359</v>
      </c>
      <c r="I58" s="64">
        <v>195592.79999999981</v>
      </c>
      <c r="J58" s="64">
        <v>0</v>
      </c>
      <c r="K58" s="64">
        <v>52450</v>
      </c>
      <c r="L58" s="64">
        <v>1886.6900000004098</v>
      </c>
      <c r="M58" s="64">
        <v>65493.59</v>
      </c>
      <c r="N58" s="64">
        <v>0</v>
      </c>
      <c r="O58" s="64">
        <v>534126.56000000006</v>
      </c>
      <c r="P58" s="64">
        <v>456677.61</v>
      </c>
      <c r="Q58" s="64">
        <v>387244.25999999978</v>
      </c>
      <c r="R58" s="64">
        <v>234335.69999999925</v>
      </c>
      <c r="S58" s="64">
        <v>1990</v>
      </c>
      <c r="T58" s="64">
        <v>398958.27000000142</v>
      </c>
      <c r="U58" s="64">
        <v>4170.32</v>
      </c>
      <c r="V58" s="64">
        <v>57585.839999999967</v>
      </c>
      <c r="W58" s="64">
        <v>69926.040000000037</v>
      </c>
      <c r="X58" s="64">
        <v>87241.839999999967</v>
      </c>
      <c r="Y58" s="64">
        <v>71676.820000000065</v>
      </c>
      <c r="Z58" s="64">
        <v>217686.62000000011</v>
      </c>
      <c r="AA58" s="64">
        <v>624791.6708399998</v>
      </c>
      <c r="AB58" s="64">
        <v>1030388.21</v>
      </c>
      <c r="AC58" s="64">
        <v>296700.56000000006</v>
      </c>
      <c r="AD58" s="64">
        <v>378284</v>
      </c>
      <c r="AE58" s="64">
        <v>50425</v>
      </c>
      <c r="AF58" s="64">
        <v>32224</v>
      </c>
      <c r="AG58" s="64">
        <v>389377.36999999732</v>
      </c>
      <c r="AH58" s="64">
        <v>11746.020000000019</v>
      </c>
    </row>
    <row r="59" spans="1:34" ht="16.350000000000001" customHeight="1">
      <c r="B59" s="40" t="s">
        <v>113</v>
      </c>
      <c r="C59" s="39" t="s">
        <v>119</v>
      </c>
      <c r="D59" s="39"/>
      <c r="E59" s="64">
        <v>994252.55999999994</v>
      </c>
      <c r="F59" s="64">
        <v>807238.05</v>
      </c>
      <c r="G59" s="64">
        <v>738133.58000000007</v>
      </c>
      <c r="H59" s="64">
        <v>605948.83000000007</v>
      </c>
      <c r="I59" s="64">
        <v>446389.24000000005</v>
      </c>
      <c r="J59" s="64">
        <v>481788.03</v>
      </c>
      <c r="K59" s="64">
        <v>1632354.45</v>
      </c>
      <c r="L59" s="64">
        <v>524485.76</v>
      </c>
      <c r="M59" s="64">
        <v>454950.69000000006</v>
      </c>
      <c r="N59" s="64">
        <v>427399.3</v>
      </c>
      <c r="O59" s="64">
        <v>831387.72</v>
      </c>
      <c r="P59" s="64">
        <v>932213.54</v>
      </c>
      <c r="Q59" s="64">
        <v>811682.39</v>
      </c>
      <c r="R59" s="64">
        <v>968547.82000000007</v>
      </c>
      <c r="S59" s="64">
        <v>861702.14</v>
      </c>
      <c r="T59" s="64">
        <v>863901.44</v>
      </c>
      <c r="U59" s="64">
        <v>477402.51</v>
      </c>
      <c r="V59" s="64">
        <v>425914.62</v>
      </c>
      <c r="W59" s="64">
        <v>352196.07999999996</v>
      </c>
      <c r="X59" s="64">
        <v>411406.81</v>
      </c>
      <c r="Y59" s="64">
        <v>562768.61</v>
      </c>
      <c r="Z59" s="64">
        <v>678422.14</v>
      </c>
      <c r="AA59" s="64">
        <v>1485753.29</v>
      </c>
      <c r="AB59" s="64">
        <v>44535282.488999993</v>
      </c>
      <c r="AC59" s="64">
        <v>1875223.48</v>
      </c>
      <c r="AD59" s="64">
        <v>729466.94000000006</v>
      </c>
      <c r="AE59" s="64">
        <v>635054.70935799996</v>
      </c>
      <c r="AF59" s="64">
        <v>357182.38510099996</v>
      </c>
      <c r="AG59" s="64">
        <v>674332.53099499992</v>
      </c>
      <c r="AH59" s="64">
        <v>1058153.2629439998</v>
      </c>
    </row>
    <row r="60" spans="1:34" ht="16.350000000000001" customHeight="1">
      <c r="B60" s="40" t="s">
        <v>114</v>
      </c>
      <c r="C60" s="39" t="s">
        <v>119</v>
      </c>
      <c r="D60" s="39"/>
      <c r="E60" s="64">
        <v>5510554.4500000002</v>
      </c>
      <c r="F60" s="64">
        <v>18167061.220000003</v>
      </c>
      <c r="G60" s="64">
        <v>48239778.519999996</v>
      </c>
      <c r="H60" s="64">
        <v>13529514.280000001</v>
      </c>
      <c r="I60" s="64">
        <v>10343102.249999998</v>
      </c>
      <c r="J60" s="64">
        <v>9033841.1999999993</v>
      </c>
      <c r="K60" s="64">
        <v>12096244.029999999</v>
      </c>
      <c r="L60" s="64">
        <v>10034081.880000001</v>
      </c>
      <c r="M60" s="64">
        <v>9667798.4000000004</v>
      </c>
      <c r="N60" s="64">
        <v>12748627.129999999</v>
      </c>
      <c r="O60" s="64">
        <v>9727579.7400000002</v>
      </c>
      <c r="P60" s="64">
        <v>31474797.810000002</v>
      </c>
      <c r="Q60" s="64">
        <v>4915820.3500000006</v>
      </c>
      <c r="R60" s="64">
        <v>15135163.380000001</v>
      </c>
      <c r="S60" s="64">
        <v>14114072.590000002</v>
      </c>
      <c r="T60" s="64">
        <v>15779903.84</v>
      </c>
      <c r="U60" s="64">
        <v>14302116.180000002</v>
      </c>
      <c r="V60" s="64">
        <v>11600322.09</v>
      </c>
      <c r="W60" s="64">
        <v>13267341.4</v>
      </c>
      <c r="X60" s="64">
        <v>13859968.24</v>
      </c>
      <c r="Y60" s="64">
        <v>10288351.610000001</v>
      </c>
      <c r="Z60" s="64">
        <v>13286313.809999999</v>
      </c>
      <c r="AA60" s="64">
        <v>17125168.25</v>
      </c>
      <c r="AB60" s="64">
        <v>51153892.469999991</v>
      </c>
      <c r="AC60" s="64">
        <v>6281780.9890000001</v>
      </c>
      <c r="AD60" s="64">
        <v>18897020.504999999</v>
      </c>
      <c r="AE60" s="64">
        <v>13566254.593150999</v>
      </c>
      <c r="AF60" s="64">
        <v>16402355.533012999</v>
      </c>
      <c r="AG60" s="64">
        <v>17754972.354098003</v>
      </c>
      <c r="AH60" s="64">
        <v>15192486.338176999</v>
      </c>
    </row>
    <row r="61" spans="1:34" ht="16.350000000000001" customHeight="1">
      <c r="B61" s="40" t="s">
        <v>85</v>
      </c>
      <c r="C61" s="39" t="s">
        <v>119</v>
      </c>
      <c r="D61" s="39"/>
      <c r="E61" s="64">
        <v>800590.96</v>
      </c>
      <c r="F61" s="64">
        <v>627978.23999999999</v>
      </c>
      <c r="G61" s="64">
        <v>332808922.27999997</v>
      </c>
      <c r="H61" s="64">
        <v>7094803.4600000009</v>
      </c>
      <c r="I61" s="64">
        <v>12033076.239999998</v>
      </c>
      <c r="J61" s="64">
        <v>16112215.73</v>
      </c>
      <c r="K61" s="64">
        <v>16804632.52</v>
      </c>
      <c r="L61" s="64">
        <v>11834564.070000002</v>
      </c>
      <c r="M61" s="64">
        <v>9843711.3100000024</v>
      </c>
      <c r="N61" s="64">
        <v>11990316.550000001</v>
      </c>
      <c r="O61" s="64">
        <v>4114992.8499999996</v>
      </c>
      <c r="P61" s="64">
        <v>3813080.33</v>
      </c>
      <c r="Q61" s="64">
        <v>1362523.2999999996</v>
      </c>
      <c r="R61" s="64">
        <v>4624881.55</v>
      </c>
      <c r="S61" s="64">
        <v>4317223.0500000007</v>
      </c>
      <c r="T61" s="64">
        <v>5394612.0600000015</v>
      </c>
      <c r="U61" s="64">
        <v>11222289.23</v>
      </c>
      <c r="V61" s="64">
        <v>16200859.559999999</v>
      </c>
      <c r="W61" s="64">
        <v>18858936.73</v>
      </c>
      <c r="X61" s="64">
        <v>21721501.670000002</v>
      </c>
      <c r="Y61" s="64">
        <v>19710490.329999998</v>
      </c>
      <c r="Z61" s="64">
        <v>8053489.5300000003</v>
      </c>
      <c r="AA61" s="64">
        <v>2594906.29</v>
      </c>
      <c r="AB61" s="64">
        <v>4142930.85</v>
      </c>
      <c r="AC61" s="64">
        <v>1156623.55</v>
      </c>
      <c r="AD61" s="64">
        <v>6595588.6600000001</v>
      </c>
      <c r="AE61" s="64">
        <v>4412200.2</v>
      </c>
      <c r="AF61" s="64">
        <v>7938512.8429400008</v>
      </c>
      <c r="AG61" s="64">
        <v>13712632.792424999</v>
      </c>
      <c r="AH61" s="64">
        <v>15773733.314637</v>
      </c>
    </row>
    <row r="62" spans="1:34" ht="16.350000000000001" customHeight="1">
      <c r="B62" s="40" t="s">
        <v>115</v>
      </c>
      <c r="C62" s="39" t="s">
        <v>119</v>
      </c>
      <c r="D62" s="39"/>
      <c r="E62" s="64">
        <v>1588907.5299999998</v>
      </c>
      <c r="F62" s="64">
        <v>1725858.2</v>
      </c>
      <c r="G62" s="64">
        <v>3531396.5999999996</v>
      </c>
      <c r="H62" s="64">
        <v>5292680.6899999995</v>
      </c>
      <c r="I62" s="64">
        <v>2543701.9</v>
      </c>
      <c r="J62" s="64">
        <v>2420202.5699999998</v>
      </c>
      <c r="K62" s="64">
        <v>2474883.0799999996</v>
      </c>
      <c r="L62" s="64">
        <v>2416676.4</v>
      </c>
      <c r="M62" s="64">
        <v>2261196.21</v>
      </c>
      <c r="N62" s="64">
        <v>3671787.1700000004</v>
      </c>
      <c r="O62" s="64">
        <v>2958809.4599999995</v>
      </c>
      <c r="P62" s="64">
        <v>2733086.43</v>
      </c>
      <c r="Q62" s="64">
        <v>2689780.45</v>
      </c>
      <c r="R62" s="64">
        <v>1821781.5899999999</v>
      </c>
      <c r="S62" s="64">
        <v>2981523.86</v>
      </c>
      <c r="T62" s="64">
        <v>3912036.0700000003</v>
      </c>
      <c r="U62" s="64">
        <v>3976027.3899999997</v>
      </c>
      <c r="V62" s="64">
        <v>3934411.2300000004</v>
      </c>
      <c r="W62" s="64">
        <v>5017192.82</v>
      </c>
      <c r="X62" s="64">
        <v>10108306.299999999</v>
      </c>
      <c r="Y62" s="64">
        <v>7733291.21</v>
      </c>
      <c r="Z62" s="64">
        <v>4306660.7799999993</v>
      </c>
      <c r="AA62" s="64">
        <v>3705870.2600000002</v>
      </c>
      <c r="AB62" s="64">
        <v>5966638.5659999996</v>
      </c>
      <c r="AC62" s="64">
        <v>4871214.6020000009</v>
      </c>
      <c r="AD62" s="64">
        <v>3966556.3807140002</v>
      </c>
      <c r="AE62" s="64">
        <v>2707391.3823560001</v>
      </c>
      <c r="AF62" s="64">
        <v>3936246.8797379998</v>
      </c>
      <c r="AG62" s="64">
        <v>3775848.1550040008</v>
      </c>
      <c r="AH62" s="64">
        <v>3473573.4330509999</v>
      </c>
    </row>
    <row r="63" spans="1:34" ht="16.350000000000001" customHeight="1">
      <c r="B63" s="40" t="s">
        <v>116</v>
      </c>
      <c r="C63" s="39" t="s">
        <v>119</v>
      </c>
      <c r="D63" s="39"/>
      <c r="E63" s="64">
        <v>239810.24</v>
      </c>
      <c r="F63" s="64">
        <v>673065.37</v>
      </c>
      <c r="G63" s="64">
        <v>138505738.64999998</v>
      </c>
      <c r="H63" s="64">
        <v>133626.63999999998</v>
      </c>
      <c r="I63" s="64">
        <v>952507.60000000009</v>
      </c>
      <c r="J63" s="64">
        <v>611161.74</v>
      </c>
      <c r="K63" s="64">
        <v>152975.95000000001</v>
      </c>
      <c r="L63" s="64">
        <v>143550.28999999998</v>
      </c>
      <c r="M63" s="64">
        <v>234672.72999999998</v>
      </c>
      <c r="N63" s="64">
        <v>214630.49</v>
      </c>
      <c r="O63" s="64">
        <v>201109.72</v>
      </c>
      <c r="P63" s="64">
        <v>227711.14</v>
      </c>
      <c r="Q63" s="64">
        <v>249682.77</v>
      </c>
      <c r="R63" s="64">
        <v>123366.22999999998</v>
      </c>
      <c r="S63" s="64">
        <v>213295.46999999997</v>
      </c>
      <c r="T63" s="64">
        <v>413589.16000000003</v>
      </c>
      <c r="U63" s="64">
        <v>1154191.1599999999</v>
      </c>
      <c r="V63" s="64">
        <v>2240044.42</v>
      </c>
      <c r="W63" s="64">
        <v>1056405.9000000001</v>
      </c>
      <c r="X63" s="64">
        <v>1233382.9000000001</v>
      </c>
      <c r="Y63" s="64">
        <v>1129309.3200000003</v>
      </c>
      <c r="Z63" s="64">
        <v>1215258.45</v>
      </c>
      <c r="AA63" s="64">
        <v>580532.5399999998</v>
      </c>
      <c r="AB63" s="64">
        <v>1684101.21</v>
      </c>
      <c r="AC63" s="64">
        <v>458579.85</v>
      </c>
      <c r="AD63" s="64">
        <v>1187954.2</v>
      </c>
      <c r="AE63" s="64">
        <v>776516.24</v>
      </c>
      <c r="AF63" s="64">
        <v>892611.62</v>
      </c>
      <c r="AG63" s="64">
        <v>861617.24000000011</v>
      </c>
      <c r="AH63" s="64">
        <v>620436.41</v>
      </c>
    </row>
    <row r="64" spans="1:34" ht="16.350000000000001" customHeight="1">
      <c r="B64" s="40" t="s">
        <v>117</v>
      </c>
      <c r="C64" s="39" t="s">
        <v>119</v>
      </c>
      <c r="D64" s="39"/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3000000</v>
      </c>
      <c r="M64" s="64">
        <v>44000000</v>
      </c>
      <c r="N64" s="64">
        <v>2500000</v>
      </c>
      <c r="O64" s="64">
        <v>0</v>
      </c>
      <c r="P64" s="64">
        <v>15500000</v>
      </c>
      <c r="Q64" s="64">
        <v>22000000</v>
      </c>
      <c r="R64" s="64">
        <v>0</v>
      </c>
      <c r="S64" s="64">
        <v>0</v>
      </c>
      <c r="T64" s="64">
        <v>3000000</v>
      </c>
      <c r="U64" s="64">
        <v>4000000</v>
      </c>
      <c r="V64" s="64">
        <v>6000000</v>
      </c>
      <c r="W64" s="64">
        <v>90000000</v>
      </c>
      <c r="X64" s="64">
        <v>4000000</v>
      </c>
      <c r="Y64" s="64">
        <v>5000000</v>
      </c>
      <c r="Z64" s="64">
        <v>5000000</v>
      </c>
      <c r="AA64" s="64">
        <v>4500000</v>
      </c>
      <c r="AB64" s="64">
        <v>5000000</v>
      </c>
      <c r="AC64" s="64">
        <v>8243000</v>
      </c>
      <c r="AD64" s="64">
        <v>35000000</v>
      </c>
      <c r="AE64" s="64">
        <v>14070000</v>
      </c>
      <c r="AF64" s="64">
        <v>0</v>
      </c>
      <c r="AG64" s="64">
        <v>8000000</v>
      </c>
      <c r="AH64" s="64">
        <v>19000000</v>
      </c>
    </row>
    <row r="65" spans="1:34" ht="16.350000000000001" customHeight="1">
      <c r="B65" s="40" t="s">
        <v>118</v>
      </c>
      <c r="C65" s="39" t="s">
        <v>119</v>
      </c>
      <c r="D65" s="39"/>
      <c r="E65" s="64">
        <v>0</v>
      </c>
      <c r="F65" s="64">
        <v>0</v>
      </c>
      <c r="G65" s="64">
        <v>0</v>
      </c>
      <c r="H65" s="64">
        <v>0</v>
      </c>
      <c r="I65" s="64">
        <v>500000</v>
      </c>
      <c r="J65" s="64">
        <v>0</v>
      </c>
      <c r="K65" s="64">
        <v>400000</v>
      </c>
      <c r="L65" s="64">
        <v>0</v>
      </c>
      <c r="M65" s="64">
        <v>0</v>
      </c>
      <c r="N65" s="64">
        <v>0</v>
      </c>
      <c r="O65" s="64">
        <v>200000</v>
      </c>
      <c r="P65" s="64">
        <v>492085.37</v>
      </c>
      <c r="Q65" s="64">
        <v>0</v>
      </c>
      <c r="R65" s="64">
        <v>588462.44999999995</v>
      </c>
      <c r="S65" s="64">
        <v>0</v>
      </c>
      <c r="T65" s="64">
        <v>0</v>
      </c>
      <c r="U65" s="64">
        <v>199459.6</v>
      </c>
      <c r="V65" s="64">
        <v>0</v>
      </c>
      <c r="W65" s="64">
        <v>230000</v>
      </c>
      <c r="X65" s="64">
        <v>0</v>
      </c>
      <c r="Y65" s="64">
        <v>0</v>
      </c>
      <c r="Z65" s="64">
        <v>0</v>
      </c>
      <c r="AA65" s="64">
        <v>0</v>
      </c>
      <c r="AB65" s="64">
        <v>69223.899999999994</v>
      </c>
      <c r="AC65" s="64">
        <v>0</v>
      </c>
      <c r="AD65" s="64">
        <v>300000</v>
      </c>
      <c r="AE65" s="64">
        <v>300000</v>
      </c>
      <c r="AF65" s="64">
        <v>300000</v>
      </c>
      <c r="AG65" s="64">
        <v>300000</v>
      </c>
      <c r="AH65" s="64">
        <v>300000</v>
      </c>
    </row>
    <row r="66" spans="1:34" ht="16.350000000000001" customHeight="1">
      <c r="B66" s="40" t="s">
        <v>101</v>
      </c>
      <c r="C66" s="39" t="s">
        <v>119</v>
      </c>
      <c r="D66" s="39"/>
      <c r="E66" s="64">
        <v>0</v>
      </c>
      <c r="F66" s="64">
        <v>0</v>
      </c>
      <c r="G66" s="64">
        <v>0</v>
      </c>
      <c r="H66" s="64">
        <v>0</v>
      </c>
      <c r="I66" s="64">
        <v>7963557.6399999997</v>
      </c>
      <c r="J66" s="64">
        <v>1352735.48</v>
      </c>
      <c r="K66" s="64">
        <v>7638358.0499999998</v>
      </c>
      <c r="L66" s="64">
        <v>5397989.0099999998</v>
      </c>
      <c r="M66" s="64">
        <v>0</v>
      </c>
      <c r="N66" s="64">
        <v>0</v>
      </c>
      <c r="O66" s="64">
        <v>0</v>
      </c>
      <c r="P66" s="64">
        <v>0</v>
      </c>
      <c r="Q66" s="64">
        <v>4500000</v>
      </c>
      <c r="R66" s="64">
        <v>11000000</v>
      </c>
      <c r="S66" s="64">
        <v>1600000</v>
      </c>
      <c r="T66" s="64">
        <v>13500000</v>
      </c>
      <c r="U66" s="64">
        <v>0</v>
      </c>
      <c r="V66" s="64">
        <v>400000</v>
      </c>
      <c r="W66" s="64">
        <v>2500000</v>
      </c>
      <c r="X66" s="64">
        <v>500000</v>
      </c>
      <c r="Y66" s="64">
        <v>1500000</v>
      </c>
      <c r="Z66" s="64">
        <v>2500000</v>
      </c>
      <c r="AA66" s="64">
        <v>2700000</v>
      </c>
      <c r="AB66" s="64">
        <v>6000000</v>
      </c>
      <c r="AC66" s="64">
        <v>550750</v>
      </c>
      <c r="AD66" s="64">
        <v>2601550</v>
      </c>
      <c r="AE66" s="64">
        <v>5000000</v>
      </c>
      <c r="AF66" s="64">
        <v>2000000</v>
      </c>
      <c r="AG66" s="64">
        <v>34287066</v>
      </c>
      <c r="AH66" s="64">
        <v>3349175</v>
      </c>
    </row>
    <row r="67" spans="1:34" ht="16.350000000000001" customHeight="1">
      <c r="B67" s="40" t="s">
        <v>86</v>
      </c>
      <c r="C67" s="39" t="s">
        <v>119</v>
      </c>
      <c r="D67" s="39"/>
      <c r="E67" s="64">
        <v>190695273.13999999</v>
      </c>
      <c r="F67" s="64">
        <v>181673926.27000004</v>
      </c>
      <c r="G67" s="64">
        <v>143257601</v>
      </c>
      <c r="H67" s="64">
        <v>114810490.56999999</v>
      </c>
      <c r="I67" s="64">
        <v>104671607.98999999</v>
      </c>
      <c r="J67" s="64">
        <v>90234095.12999998</v>
      </c>
      <c r="K67" s="64">
        <v>100300387.99000001</v>
      </c>
      <c r="L67" s="64">
        <v>80380624.039999992</v>
      </c>
      <c r="M67" s="64">
        <v>95086716.12000002</v>
      </c>
      <c r="N67" s="64">
        <v>92373312.659999996</v>
      </c>
      <c r="O67" s="64">
        <v>105296267.59999999</v>
      </c>
      <c r="P67" s="64">
        <v>150376421.60999998</v>
      </c>
      <c r="Q67" s="64">
        <v>175461345.94</v>
      </c>
      <c r="R67" s="64">
        <v>192841805.66000003</v>
      </c>
      <c r="S67" s="64">
        <v>172458494.39200002</v>
      </c>
      <c r="T67" s="64">
        <v>149042363.27000001</v>
      </c>
      <c r="U67" s="64">
        <v>130196250.08700001</v>
      </c>
      <c r="V67" s="64">
        <v>116793778.55042499</v>
      </c>
      <c r="W67" s="64">
        <v>127951544.676</v>
      </c>
      <c r="X67" s="64">
        <v>138579197.57999998</v>
      </c>
      <c r="Y67" s="64">
        <v>132633848.47</v>
      </c>
      <c r="Z67" s="64">
        <v>120044914.95999999</v>
      </c>
      <c r="AA67" s="64">
        <v>134654316.21999997</v>
      </c>
      <c r="AB67" s="64">
        <v>191608670.96600002</v>
      </c>
      <c r="AC67" s="64">
        <v>243915099.46000001</v>
      </c>
      <c r="AD67" s="64">
        <v>232595887.18111601</v>
      </c>
      <c r="AE67" s="64">
        <v>204906674.88189498</v>
      </c>
      <c r="AF67" s="64">
        <v>203640636.19400802</v>
      </c>
      <c r="AG67" s="64">
        <v>175241169.158351</v>
      </c>
      <c r="AH67" s="64">
        <v>163515606.88524398</v>
      </c>
    </row>
    <row r="68" spans="1:34" ht="16.350000000000001" customHeight="1">
      <c r="B68" s="40" t="s">
        <v>2</v>
      </c>
      <c r="C68" s="39" t="s">
        <v>119</v>
      </c>
      <c r="D68" s="3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5"/>
    </row>
    <row r="69" spans="1:34" ht="16.350000000000001" customHeight="1">
      <c r="B69" s="41" t="s">
        <v>108</v>
      </c>
      <c r="C69" s="39" t="s">
        <v>119</v>
      </c>
      <c r="D69" s="39"/>
      <c r="E69" s="66">
        <f>SUBTOTAL(9,E57:E67)</f>
        <v>327762104.13999999</v>
      </c>
      <c r="F69" s="66">
        <f t="shared" ref="F69:I69" si="18">SUBTOTAL(9,F57:F67)</f>
        <v>313447671.96000004</v>
      </c>
      <c r="G69" s="66">
        <f t="shared" si="18"/>
        <v>791439457.48000002</v>
      </c>
      <c r="H69" s="66">
        <f t="shared" si="18"/>
        <v>271232399.55999994</v>
      </c>
      <c r="I69" s="66">
        <f t="shared" si="18"/>
        <v>267902964.01999992</v>
      </c>
      <c r="J69" s="66">
        <f>SUBTOTAL(9,J57:J67)</f>
        <v>283355930.51999998</v>
      </c>
      <c r="K69" s="66">
        <f t="shared" ref="K69:AH69" si="19">SUBTOTAL(9,K57:K67)</f>
        <v>289892841.87</v>
      </c>
      <c r="L69" s="66">
        <f t="shared" si="19"/>
        <v>274102221.93999994</v>
      </c>
      <c r="M69" s="66">
        <f t="shared" si="19"/>
        <v>327254899.01999998</v>
      </c>
      <c r="N69" s="66">
        <f t="shared" si="19"/>
        <v>269803919.59999996</v>
      </c>
      <c r="O69" s="66">
        <f t="shared" si="19"/>
        <v>279701152.60000002</v>
      </c>
      <c r="P69" s="66">
        <f t="shared" si="19"/>
        <v>447262948.78199995</v>
      </c>
      <c r="Q69" s="66">
        <f t="shared" si="19"/>
        <v>393405093.90999997</v>
      </c>
      <c r="R69" s="66">
        <f t="shared" si="19"/>
        <v>450099921.10000002</v>
      </c>
      <c r="S69" s="66">
        <f t="shared" si="19"/>
        <v>372606726.99200004</v>
      </c>
      <c r="T69" s="66">
        <f t="shared" si="19"/>
        <v>355602350.52999997</v>
      </c>
      <c r="U69" s="66">
        <f t="shared" si="19"/>
        <v>345209311.34699988</v>
      </c>
      <c r="V69" s="66">
        <f t="shared" si="19"/>
        <v>349879388.08042502</v>
      </c>
      <c r="W69" s="66">
        <f t="shared" si="19"/>
        <v>486402374.09599996</v>
      </c>
      <c r="X69" s="66">
        <f t="shared" si="19"/>
        <v>414491528.01144701</v>
      </c>
      <c r="Y69" s="66">
        <f t="shared" si="19"/>
        <v>410894159.91999996</v>
      </c>
      <c r="Z69" s="66">
        <f t="shared" si="19"/>
        <v>370065243.02999997</v>
      </c>
      <c r="AA69" s="66">
        <f t="shared" si="19"/>
        <v>396958903.79083991</v>
      </c>
      <c r="AB69" s="66">
        <f t="shared" si="19"/>
        <v>538230554.67299998</v>
      </c>
      <c r="AC69" s="66">
        <f t="shared" si="19"/>
        <v>508645174.80099988</v>
      </c>
      <c r="AD69" s="66">
        <f t="shared" si="19"/>
        <v>513683445.25342095</v>
      </c>
      <c r="AE69" s="66">
        <f t="shared" si="19"/>
        <v>457169639.66494203</v>
      </c>
      <c r="AF69" s="66">
        <f t="shared" si="19"/>
        <v>473889034.02062297</v>
      </c>
      <c r="AG69" s="66">
        <f t="shared" si="19"/>
        <v>524886660.07996905</v>
      </c>
      <c r="AH69" s="66">
        <f t="shared" si="19"/>
        <v>524276051.31639409</v>
      </c>
    </row>
    <row r="70" spans="1:34" ht="16.350000000000001" customHeight="1">
      <c r="B70" s="18"/>
      <c r="C70" s="39"/>
      <c r="D70" s="39"/>
    </row>
    <row r="71" spans="1:34" s="6" customFormat="1" ht="15.75" customHeight="1" thickBot="1">
      <c r="A71" s="3" t="s">
        <v>5</v>
      </c>
      <c r="B71" s="4"/>
      <c r="C71" s="4" t="s">
        <v>20</v>
      </c>
      <c r="D71" s="4" t="s">
        <v>21</v>
      </c>
      <c r="E71" s="19">
        <v>44927</v>
      </c>
      <c r="F71" s="19">
        <v>44958</v>
      </c>
      <c r="G71" s="19">
        <v>44986</v>
      </c>
      <c r="H71" s="19">
        <v>45017</v>
      </c>
      <c r="I71" s="19">
        <v>45047</v>
      </c>
      <c r="J71" s="19">
        <v>45078</v>
      </c>
      <c r="K71" s="19">
        <v>45108</v>
      </c>
      <c r="L71" s="19">
        <v>45139</v>
      </c>
      <c r="M71" s="19">
        <v>45170</v>
      </c>
      <c r="N71" s="19">
        <v>45200</v>
      </c>
      <c r="O71" s="19">
        <v>45231</v>
      </c>
      <c r="P71" s="19">
        <v>45261</v>
      </c>
      <c r="Q71" s="19">
        <v>45292</v>
      </c>
      <c r="R71" s="19">
        <v>45323</v>
      </c>
      <c r="S71" s="19">
        <v>45352</v>
      </c>
      <c r="T71" s="19">
        <v>45383</v>
      </c>
      <c r="U71" s="19">
        <v>45413</v>
      </c>
      <c r="V71" s="19">
        <v>45444</v>
      </c>
      <c r="W71" s="19">
        <v>45474</v>
      </c>
      <c r="X71" s="19">
        <v>45505</v>
      </c>
      <c r="Y71" s="19">
        <v>45536</v>
      </c>
      <c r="Z71" s="19">
        <v>45566</v>
      </c>
      <c r="AA71" s="19">
        <v>45597</v>
      </c>
      <c r="AB71" s="19">
        <v>45627</v>
      </c>
      <c r="AC71" s="19">
        <v>45658</v>
      </c>
      <c r="AD71" s="19">
        <v>45689</v>
      </c>
      <c r="AE71" s="19">
        <v>45717</v>
      </c>
      <c r="AF71" s="19">
        <v>45748</v>
      </c>
      <c r="AG71" s="19">
        <v>45778</v>
      </c>
      <c r="AH71" s="19">
        <v>45809</v>
      </c>
    </row>
    <row r="72" spans="1:34" ht="16.350000000000001" customHeight="1">
      <c r="B72" s="44" t="s">
        <v>111</v>
      </c>
      <c r="C72" s="18" t="s">
        <v>66</v>
      </c>
      <c r="D72" s="37"/>
      <c r="E72" s="38">
        <f>E57/E42</f>
        <v>0.84099167971576405</v>
      </c>
      <c r="F72" s="38">
        <f t="shared" ref="F72:AB82" si="20">F57/F42</f>
        <v>0.78465885475159214</v>
      </c>
      <c r="G72" s="38">
        <f t="shared" si="20"/>
        <v>0.8261130125217061</v>
      </c>
      <c r="H72" s="38">
        <f t="shared" si="20"/>
        <v>0.9436661842189612</v>
      </c>
      <c r="I72" s="38">
        <f t="shared" si="20"/>
        <v>0.86947743802243416</v>
      </c>
      <c r="J72" s="38">
        <f t="shared" si="20"/>
        <v>1.0819934394536548</v>
      </c>
      <c r="K72" s="38">
        <f t="shared" si="20"/>
        <v>0.89267726118999258</v>
      </c>
      <c r="L72" s="38">
        <f t="shared" si="20"/>
        <v>0.9396037325303257</v>
      </c>
      <c r="M72" s="38">
        <f t="shared" si="20"/>
        <v>1.0543511344767802</v>
      </c>
      <c r="N72" s="38">
        <f t="shared" si="20"/>
        <v>0.90996757196560629</v>
      </c>
      <c r="O72" s="38">
        <f t="shared" si="20"/>
        <v>0.91623195212527697</v>
      </c>
      <c r="P72" s="38">
        <f t="shared" si="20"/>
        <v>1.2429050621276521</v>
      </c>
      <c r="Q72" s="38">
        <f t="shared" si="20"/>
        <v>0.83052649383226473</v>
      </c>
      <c r="R72" s="38">
        <f t="shared" si="20"/>
        <v>1.1233787230587085</v>
      </c>
      <c r="S72" s="38">
        <f t="shared" si="20"/>
        <v>1.0007249670564791</v>
      </c>
      <c r="T72" s="38">
        <f t="shared" si="20"/>
        <v>0.92904259206472184</v>
      </c>
      <c r="U72" s="38">
        <f t="shared" si="20"/>
        <v>0.92651006751743381</v>
      </c>
      <c r="V72" s="38">
        <f t="shared" si="20"/>
        <v>0.95358480925378197</v>
      </c>
      <c r="W72" s="38">
        <f t="shared" si="20"/>
        <v>1.0170657040877062</v>
      </c>
      <c r="X72" s="38">
        <f t="shared" si="20"/>
        <v>0.94847553661684725</v>
      </c>
      <c r="Y72" s="38">
        <f t="shared" si="20"/>
        <v>1.0750614397673024</v>
      </c>
      <c r="Z72" s="38">
        <f t="shared" si="20"/>
        <v>0.95885385243668808</v>
      </c>
      <c r="AA72" s="38">
        <f t="shared" si="20"/>
        <v>0.96404320459532722</v>
      </c>
      <c r="AB72" s="38">
        <f t="shared" si="20"/>
        <v>0.81637353348653374</v>
      </c>
      <c r="AC72" s="38">
        <f t="shared" ref="AC72:AH82" si="21">AC57/AC42</f>
        <v>0.96302975666002288</v>
      </c>
      <c r="AD72" s="38">
        <f t="shared" si="21"/>
        <v>0.87329747204030117</v>
      </c>
      <c r="AE72" s="38">
        <f t="shared" si="21"/>
        <v>0.9169585020904949</v>
      </c>
      <c r="AF72" s="38">
        <f t="shared" si="21"/>
        <v>0.92925409604695053</v>
      </c>
      <c r="AG72" s="38">
        <f t="shared" si="21"/>
        <v>0.8829729829271602</v>
      </c>
      <c r="AH72" s="38">
        <f t="shared" si="21"/>
        <v>0.96359129353332074</v>
      </c>
    </row>
    <row r="73" spans="1:34" ht="16.350000000000001" customHeight="1">
      <c r="B73" s="40" t="s">
        <v>112</v>
      </c>
      <c r="C73" s="18" t="s">
        <v>66</v>
      </c>
      <c r="D73" s="39"/>
      <c r="E73" s="38">
        <f t="shared" ref="E73:T84" si="22">E58/E43</f>
        <v>0.27702456442669998</v>
      </c>
      <c r="F73" s="38">
        <f t="shared" si="22"/>
        <v>6.0153555664446627E-2</v>
      </c>
      <c r="G73" s="38">
        <f t="shared" si="22"/>
        <v>0.37849492090783998</v>
      </c>
      <c r="H73" s="38">
        <f t="shared" si="22"/>
        <v>0.3719022194903599</v>
      </c>
      <c r="I73" s="38">
        <f t="shared" si="22"/>
        <v>1.3438702133064402</v>
      </c>
      <c r="J73" s="38">
        <f t="shared" si="22"/>
        <v>0</v>
      </c>
      <c r="K73" s="38">
        <f t="shared" si="22"/>
        <v>0.69777322404807696</v>
      </c>
      <c r="L73" s="38">
        <f t="shared" si="22"/>
        <v>3.5476805376008461E-2</v>
      </c>
      <c r="M73" s="38">
        <f t="shared" si="22"/>
        <v>0.9137520715077645</v>
      </c>
      <c r="N73" s="38">
        <f t="shared" si="22"/>
        <v>0</v>
      </c>
      <c r="O73" s="38">
        <f t="shared" si="22"/>
        <v>0.89423613310257799</v>
      </c>
      <c r="P73" s="38">
        <f t="shared" si="22"/>
        <v>0.75649027801787672</v>
      </c>
      <c r="Q73" s="38">
        <f t="shared" si="22"/>
        <v>0.6838088765256054</v>
      </c>
      <c r="R73" s="38">
        <f t="shared" si="22"/>
        <v>0.44281798223360491</v>
      </c>
      <c r="S73" s="38">
        <f t="shared" si="22"/>
        <v>3.4723692792908056E-3</v>
      </c>
      <c r="T73" s="38">
        <f t="shared" si="22"/>
        <v>0.81254603814451221</v>
      </c>
      <c r="U73" s="38">
        <f t="shared" si="20"/>
        <v>9.1628304927113685E-2</v>
      </c>
      <c r="V73" s="38">
        <f t="shared" si="20"/>
        <v>0.66037803898048386</v>
      </c>
      <c r="W73" s="38">
        <f t="shared" si="20"/>
        <v>0.55575806987461507</v>
      </c>
      <c r="X73" s="38">
        <f t="shared" si="20"/>
        <v>0.80988032413950906</v>
      </c>
      <c r="Y73" s="38">
        <f t="shared" si="20"/>
        <v>0.7125001530829953</v>
      </c>
      <c r="Z73" s="38">
        <f t="shared" si="20"/>
        <v>0.39056968042541379</v>
      </c>
      <c r="AA73" s="38">
        <f t="shared" si="20"/>
        <v>0.5587060868562026</v>
      </c>
      <c r="AB73" s="38">
        <f t="shared" si="20"/>
        <v>1.593917767783062</v>
      </c>
      <c r="AC73" s="38">
        <f t="shared" ref="AC73:AE73" si="23">AC58/AC43</f>
        <v>0.44117550976351094</v>
      </c>
      <c r="AD73" s="38">
        <f t="shared" si="23"/>
        <v>0.62150747683102703</v>
      </c>
      <c r="AE73" s="38">
        <f t="shared" si="23"/>
        <v>3.9520499039278831E-2</v>
      </c>
      <c r="AF73" s="38">
        <f t="shared" si="21"/>
        <v>0.13048235850822931</v>
      </c>
      <c r="AG73" s="38">
        <f t="shared" si="21"/>
        <v>3.2272418070443929</v>
      </c>
      <c r="AH73" s="38">
        <f t="shared" si="21"/>
        <v>0.1139712505341731</v>
      </c>
    </row>
    <row r="74" spans="1:34" ht="16.350000000000001" customHeight="1">
      <c r="B74" s="40" t="s">
        <v>113</v>
      </c>
      <c r="C74" s="18" t="s">
        <v>66</v>
      </c>
      <c r="D74" s="39"/>
      <c r="E74" s="38">
        <f t="shared" si="22"/>
        <v>0.69940653712078349</v>
      </c>
      <c r="F74" s="38">
        <f t="shared" si="20"/>
        <v>0.65553892633435629</v>
      </c>
      <c r="G74" s="38">
        <f t="shared" si="20"/>
        <v>0.85998796774653374</v>
      </c>
      <c r="H74" s="38">
        <f t="shared" si="20"/>
        <v>0.97295420884186568</v>
      </c>
      <c r="I74" s="38">
        <f t="shared" si="20"/>
        <v>0.79930358857988071</v>
      </c>
      <c r="J74" s="38">
        <f t="shared" si="20"/>
        <v>0.73838333392167033</v>
      </c>
      <c r="K74" s="38">
        <f t="shared" si="20"/>
        <v>1.1228677513604932</v>
      </c>
      <c r="L74" s="38">
        <f t="shared" si="20"/>
        <v>1.1026468413581267</v>
      </c>
      <c r="M74" s="38">
        <f t="shared" si="20"/>
        <v>0.85958887153292618</v>
      </c>
      <c r="N74" s="38">
        <f t="shared" si="20"/>
        <v>0.80723405815800475</v>
      </c>
      <c r="O74" s="38">
        <f t="shared" si="20"/>
        <v>0.76370286471969817</v>
      </c>
      <c r="P74" s="38">
        <f t="shared" si="20"/>
        <v>0.83656383637926757</v>
      </c>
      <c r="Q74" s="38">
        <f t="shared" si="20"/>
        <v>0.74468382577287551</v>
      </c>
      <c r="R74" s="38">
        <f t="shared" si="20"/>
        <v>0.71924188589819338</v>
      </c>
      <c r="S74" s="38">
        <f t="shared" si="20"/>
        <v>1.0539857025429227</v>
      </c>
      <c r="T74" s="38">
        <f t="shared" si="20"/>
        <v>1.2614053487604799</v>
      </c>
      <c r="U74" s="38">
        <f t="shared" si="20"/>
        <v>0.78270320206541144</v>
      </c>
      <c r="V74" s="38">
        <f t="shared" si="20"/>
        <v>0.72299959247823709</v>
      </c>
      <c r="W74" s="38">
        <f t="shared" si="20"/>
        <v>0.5041359481645129</v>
      </c>
      <c r="X74" s="38">
        <f t="shared" si="20"/>
        <v>0.59839885171084173</v>
      </c>
      <c r="Y74" s="38">
        <f t="shared" si="20"/>
        <v>0.83558261390620225</v>
      </c>
      <c r="Z74" s="38">
        <f t="shared" si="20"/>
        <v>0.79432650793094361</v>
      </c>
      <c r="AA74" s="38">
        <f t="shared" si="20"/>
        <v>1.3428652080126922</v>
      </c>
      <c r="AB74" s="38">
        <f t="shared" si="20"/>
        <v>28.226416920341478</v>
      </c>
      <c r="AC74" s="38">
        <f t="shared" ref="AC74:AE74" si="24">AC59/AC44</f>
        <v>1.2248779154039966</v>
      </c>
      <c r="AD74" s="38">
        <f t="shared" si="24"/>
        <v>0.4920240517026121</v>
      </c>
      <c r="AE74" s="38">
        <f t="shared" si="24"/>
        <v>0.66861863557476242</v>
      </c>
      <c r="AF74" s="38">
        <f t="shared" si="21"/>
        <v>0.43926721996266499</v>
      </c>
      <c r="AG74" s="38">
        <f t="shared" si="21"/>
        <v>0.71492305858410776</v>
      </c>
      <c r="AH74" s="38">
        <f t="shared" si="21"/>
        <v>1.3788309615061571</v>
      </c>
    </row>
    <row r="75" spans="1:34" ht="16.350000000000001" customHeight="1">
      <c r="B75" s="40" t="s">
        <v>114</v>
      </c>
      <c r="C75" s="18" t="s">
        <v>66</v>
      </c>
      <c r="D75" s="39"/>
      <c r="E75" s="38">
        <f t="shared" si="22"/>
        <v>0.19465300596686991</v>
      </c>
      <c r="F75" s="38">
        <f t="shared" si="20"/>
        <v>0.91190335170398595</v>
      </c>
      <c r="G75" s="38">
        <f t="shared" si="20"/>
        <v>2.7490649998660168</v>
      </c>
      <c r="H75" s="38">
        <f t="shared" si="20"/>
        <v>1.24717942979203</v>
      </c>
      <c r="I75" s="38">
        <f t="shared" si="20"/>
        <v>0.95853298924257135</v>
      </c>
      <c r="J75" s="38">
        <f t="shared" si="20"/>
        <v>0.74814512261971589</v>
      </c>
      <c r="K75" s="38">
        <f t="shared" si="20"/>
        <v>0.9849288855491477</v>
      </c>
      <c r="L75" s="38">
        <f t="shared" si="20"/>
        <v>0.8648252680129257</v>
      </c>
      <c r="M75" s="38">
        <f t="shared" si="20"/>
        <v>0.87453399025717005</v>
      </c>
      <c r="N75" s="38">
        <f t="shared" si="20"/>
        <v>1.0575760544527655</v>
      </c>
      <c r="O75" s="38">
        <f t="shared" si="20"/>
        <v>0.56682845946153737</v>
      </c>
      <c r="P75" s="38">
        <f t="shared" si="20"/>
        <v>1.4335851600256246</v>
      </c>
      <c r="Q75" s="38">
        <f t="shared" si="20"/>
        <v>0.19076512928809652</v>
      </c>
      <c r="R75" s="38">
        <f t="shared" si="20"/>
        <v>0.55848760387307217</v>
      </c>
      <c r="S75" s="38">
        <f t="shared" si="20"/>
        <v>0.71778209395667902</v>
      </c>
      <c r="T75" s="38">
        <f t="shared" si="20"/>
        <v>1.1324051017795098</v>
      </c>
      <c r="U75" s="38">
        <f t="shared" si="20"/>
        <v>1.0172827295726428</v>
      </c>
      <c r="V75" s="38">
        <f t="shared" si="20"/>
        <v>0.83432269574132778</v>
      </c>
      <c r="W75" s="38">
        <f t="shared" si="20"/>
        <v>0.88319675713353429</v>
      </c>
      <c r="X75" s="38">
        <f t="shared" si="20"/>
        <v>0.86839047770794175</v>
      </c>
      <c r="Y75" s="38">
        <f t="shared" si="20"/>
        <v>0.75567919256512384</v>
      </c>
      <c r="Z75" s="38">
        <f t="shared" si="20"/>
        <v>0.84510907644332323</v>
      </c>
      <c r="AA75" s="38">
        <f t="shared" si="20"/>
        <v>0.77750541203779977</v>
      </c>
      <c r="AB75" s="38">
        <f t="shared" si="20"/>
        <v>1.8652827104717897</v>
      </c>
      <c r="AC75" s="38">
        <f t="shared" ref="AC75:AE75" si="25">AC60/AC45</f>
        <v>0.20936494361225716</v>
      </c>
      <c r="AD75" s="38">
        <f t="shared" si="25"/>
        <v>0.76174458295239311</v>
      </c>
      <c r="AE75" s="38">
        <f t="shared" si="25"/>
        <v>0.57019092175141117</v>
      </c>
      <c r="AF75" s="38">
        <f t="shared" si="21"/>
        <v>0.95917662081334121</v>
      </c>
      <c r="AG75" s="38">
        <f t="shared" si="21"/>
        <v>1.0880590324408494</v>
      </c>
      <c r="AH75" s="38">
        <f t="shared" si="21"/>
        <v>0.81013364274690525</v>
      </c>
    </row>
    <row r="76" spans="1:34" ht="16.350000000000001" customHeight="1">
      <c r="B76" s="40" t="s">
        <v>85</v>
      </c>
      <c r="C76" s="18" t="s">
        <v>66</v>
      </c>
      <c r="D76" s="39"/>
      <c r="E76" s="38">
        <f t="shared" si="22"/>
        <v>0.17826369388812208</v>
      </c>
      <c r="F76" s="38">
        <f t="shared" si="20"/>
        <v>0.18429947335539787</v>
      </c>
      <c r="G76" s="38">
        <f t="shared" si="20"/>
        <v>29.496364075498104</v>
      </c>
      <c r="H76" s="38">
        <f t="shared" si="20"/>
        <v>0.35658252223011516</v>
      </c>
      <c r="I76" s="38">
        <f t="shared" si="20"/>
        <v>0.43437571975827244</v>
      </c>
      <c r="J76" s="38">
        <f t="shared" si="20"/>
        <v>0.46950422260876795</v>
      </c>
      <c r="K76" s="38">
        <f t="shared" si="20"/>
        <v>0.45511093822620474</v>
      </c>
      <c r="L76" s="38">
        <f t="shared" si="20"/>
        <v>0.35805395836189013</v>
      </c>
      <c r="M76" s="38">
        <f t="shared" si="20"/>
        <v>0.39732353054243619</v>
      </c>
      <c r="N76" s="38">
        <f t="shared" si="20"/>
        <v>1.4219792489223366</v>
      </c>
      <c r="O76" s="38">
        <f t="shared" si="20"/>
        <v>0.70011643075059693</v>
      </c>
      <c r="P76" s="38">
        <f t="shared" si="20"/>
        <v>0.77393392263138894</v>
      </c>
      <c r="Q76" s="38">
        <f t="shared" si="20"/>
        <v>0.25790556192402192</v>
      </c>
      <c r="R76" s="38">
        <f t="shared" si="20"/>
        <v>0.73815931203670937</v>
      </c>
      <c r="S76" s="38">
        <f t="shared" si="20"/>
        <v>1.2430313348942921</v>
      </c>
      <c r="T76" s="38">
        <f t="shared" si="20"/>
        <v>0.489271947549831</v>
      </c>
      <c r="U76" s="38">
        <f t="shared" si="20"/>
        <v>0.43748877901341432</v>
      </c>
      <c r="V76" s="38">
        <f t="shared" si="20"/>
        <v>0.53024011261462189</v>
      </c>
      <c r="W76" s="38">
        <f t="shared" si="20"/>
        <v>0.54267099790533746</v>
      </c>
      <c r="X76" s="38">
        <f t="shared" si="20"/>
        <v>0.57691341012932051</v>
      </c>
      <c r="Y76" s="38">
        <f t="shared" si="20"/>
        <v>0.87525272063028614</v>
      </c>
      <c r="Z76" s="38">
        <f t="shared" si="20"/>
        <v>0.65475922850191925</v>
      </c>
      <c r="AA76" s="38">
        <f t="shared" si="20"/>
        <v>0.46532915796817825</v>
      </c>
      <c r="AB76" s="38">
        <f t="shared" si="20"/>
        <v>1.1800042980587269</v>
      </c>
      <c r="AC76" s="38">
        <f t="shared" ref="AC76:AE76" si="26">AC61/AC46</f>
        <v>0.24520721393588932</v>
      </c>
      <c r="AD76" s="38">
        <f t="shared" si="26"/>
        <v>1.5237063575405616</v>
      </c>
      <c r="AE76" s="38">
        <f t="shared" si="26"/>
        <v>0.46511462867707543</v>
      </c>
      <c r="AF76" s="38">
        <f t="shared" si="21"/>
        <v>0.41404211291316856</v>
      </c>
      <c r="AG76" s="38">
        <f t="shared" si="21"/>
        <v>0.32984012493381465</v>
      </c>
      <c r="AH76" s="38">
        <f t="shared" si="21"/>
        <v>0.34827535027748324</v>
      </c>
    </row>
    <row r="77" spans="1:34" ht="16.350000000000001" customHeight="1">
      <c r="B77" s="40" t="s">
        <v>115</v>
      </c>
      <c r="C77" s="18" t="s">
        <v>66</v>
      </c>
      <c r="D77" s="39"/>
      <c r="E77" s="38">
        <f t="shared" si="22"/>
        <v>0.16291842327352052</v>
      </c>
      <c r="F77" s="38">
        <f t="shared" si="20"/>
        <v>0.24805704680672072</v>
      </c>
      <c r="G77" s="38">
        <f t="shared" si="20"/>
        <v>0.48470759136848768</v>
      </c>
      <c r="H77" s="38">
        <f t="shared" si="20"/>
        <v>0.99811587778619459</v>
      </c>
      <c r="I77" s="38">
        <f t="shared" si="20"/>
        <v>0.37451601563489251</v>
      </c>
      <c r="J77" s="38">
        <f t="shared" si="20"/>
        <v>0.38141417624890034</v>
      </c>
      <c r="K77" s="38">
        <f t="shared" si="20"/>
        <v>0.39738063884046743</v>
      </c>
      <c r="L77" s="38">
        <f t="shared" si="20"/>
        <v>0.34298613725169425</v>
      </c>
      <c r="M77" s="38">
        <f t="shared" si="20"/>
        <v>0.40753624504623531</v>
      </c>
      <c r="N77" s="38">
        <f t="shared" si="20"/>
        <v>0.62854560299188122</v>
      </c>
      <c r="O77" s="38">
        <f t="shared" si="20"/>
        <v>0.37129679258828585</v>
      </c>
      <c r="P77" s="38">
        <f t="shared" si="20"/>
        <v>0.42992190363809774</v>
      </c>
      <c r="Q77" s="38">
        <f t="shared" si="20"/>
        <v>0.34258572819190186</v>
      </c>
      <c r="R77" s="38">
        <f t="shared" si="20"/>
        <v>0.22222776287084786</v>
      </c>
      <c r="S77" s="38">
        <f t="shared" si="20"/>
        <v>0.43123725821409031</v>
      </c>
      <c r="T77" s="38">
        <f t="shared" si="20"/>
        <v>0.59740772609738502</v>
      </c>
      <c r="U77" s="38">
        <f t="shared" si="20"/>
        <v>0.6016301671389539</v>
      </c>
      <c r="V77" s="38">
        <f t="shared" si="20"/>
        <v>0.46016217387824626</v>
      </c>
      <c r="W77" s="38">
        <f t="shared" si="20"/>
        <v>0.53306197422752455</v>
      </c>
      <c r="X77" s="38">
        <f t="shared" si="20"/>
        <v>1.1593882802076589</v>
      </c>
      <c r="Y77" s="38">
        <f t="shared" si="20"/>
        <v>1.0179597879503839</v>
      </c>
      <c r="Z77" s="38">
        <f t="shared" si="20"/>
        <v>0.53420511463353038</v>
      </c>
      <c r="AA77" s="38">
        <f t="shared" si="20"/>
        <v>0.39921769492571957</v>
      </c>
      <c r="AB77" s="38">
        <f t="shared" si="20"/>
        <v>0.57917547983323803</v>
      </c>
      <c r="AC77" s="38">
        <f t="shared" ref="AC77:AE77" si="27">AC62/AC47</f>
        <v>0.5002540281713812</v>
      </c>
      <c r="AD77" s="38">
        <f t="shared" si="27"/>
        <v>0.55479848594504688</v>
      </c>
      <c r="AE77" s="38">
        <f t="shared" si="27"/>
        <v>0.34132835157629104</v>
      </c>
      <c r="AF77" s="38">
        <f t="shared" si="21"/>
        <v>0.6677297593521444</v>
      </c>
      <c r="AG77" s="38">
        <f t="shared" si="21"/>
        <v>0.63750933302206969</v>
      </c>
      <c r="AH77" s="38">
        <f t="shared" si="21"/>
        <v>0.47799264512086792</v>
      </c>
    </row>
    <row r="78" spans="1:34" ht="16.350000000000001" customHeight="1">
      <c r="B78" s="40" t="s">
        <v>116</v>
      </c>
      <c r="C78" s="18" t="s">
        <v>66</v>
      </c>
      <c r="D78" s="39"/>
      <c r="E78" s="38">
        <f t="shared" si="22"/>
        <v>0.17439213057043754</v>
      </c>
      <c r="F78" s="38">
        <f t="shared" si="20"/>
        <v>0.86592960768151583</v>
      </c>
      <c r="G78" s="38">
        <f t="shared" si="20"/>
        <v>74.027270577475733</v>
      </c>
      <c r="H78" s="38">
        <f t="shared" si="20"/>
        <v>0.11748131142543229</v>
      </c>
      <c r="I78" s="38">
        <f t="shared" si="20"/>
        <v>0.43878472811182695</v>
      </c>
      <c r="J78" s="38">
        <f t="shared" si="20"/>
        <v>0.19188386026759438</v>
      </c>
      <c r="K78" s="38">
        <f t="shared" si="20"/>
        <v>4.3588957085386897E-2</v>
      </c>
      <c r="L78" s="38">
        <f t="shared" si="20"/>
        <v>6.0518268228451508E-2</v>
      </c>
      <c r="M78" s="38">
        <f t="shared" si="20"/>
        <v>0.17604028746322123</v>
      </c>
      <c r="N78" s="38">
        <f t="shared" si="20"/>
        <v>0.24667091904002861</v>
      </c>
      <c r="O78" s="38">
        <f t="shared" si="20"/>
        <v>0.27259432321606097</v>
      </c>
      <c r="P78" s="38">
        <f t="shared" si="20"/>
        <v>0.20274905687970016</v>
      </c>
      <c r="Q78" s="38">
        <f t="shared" si="20"/>
        <v>0.18974591196918605</v>
      </c>
      <c r="R78" s="38">
        <f t="shared" si="20"/>
        <v>0.14116908121183944</v>
      </c>
      <c r="S78" s="38">
        <f t="shared" si="20"/>
        <v>0.23203847095661678</v>
      </c>
      <c r="T78" s="38">
        <f t="shared" si="20"/>
        <v>0.19261492353622053</v>
      </c>
      <c r="U78" s="38">
        <f t="shared" si="20"/>
        <v>0.19046657216359825</v>
      </c>
      <c r="V78" s="38">
        <f t="shared" si="20"/>
        <v>0.19870426593342083</v>
      </c>
      <c r="W78" s="38">
        <f t="shared" si="20"/>
        <v>8.5017535277340739E-2</v>
      </c>
      <c r="X78" s="38">
        <f t="shared" si="20"/>
        <v>0.19022626861585298</v>
      </c>
      <c r="Y78" s="38">
        <f t="shared" si="20"/>
        <v>0.26079080104932395</v>
      </c>
      <c r="Z78" s="38">
        <f t="shared" si="20"/>
        <v>0.71156192499157156</v>
      </c>
      <c r="AA78" s="38">
        <f t="shared" si="20"/>
        <v>0.47449182179288812</v>
      </c>
      <c r="AB78" s="38">
        <f t="shared" si="20"/>
        <v>1.096913390034896</v>
      </c>
      <c r="AC78" s="38">
        <f t="shared" ref="AC78:AE78" si="28">AC63/AC48</f>
        <v>0.361969468709118</v>
      </c>
      <c r="AD78" s="38">
        <f t="shared" si="28"/>
        <v>0.95745943656981602</v>
      </c>
      <c r="AE78" s="38">
        <f t="shared" si="28"/>
        <v>0.34812809808353606</v>
      </c>
      <c r="AF78" s="38">
        <f t="shared" si="21"/>
        <v>0.52265721992024949</v>
      </c>
      <c r="AG78" s="38">
        <f t="shared" si="21"/>
        <v>0.49197214984027593</v>
      </c>
      <c r="AH78" s="38">
        <f t="shared" si="21"/>
        <v>0.73010578660140435</v>
      </c>
    </row>
    <row r="79" spans="1:34" ht="16.350000000000001" customHeight="1">
      <c r="B79" s="40" t="s">
        <v>117</v>
      </c>
      <c r="C79" s="18" t="s">
        <v>66</v>
      </c>
      <c r="D79" s="39"/>
      <c r="E79" s="38">
        <f t="shared" si="22"/>
        <v>0</v>
      </c>
      <c r="F79" s="38">
        <f t="shared" si="20"/>
        <v>0</v>
      </c>
      <c r="G79" s="38">
        <f t="shared" si="20"/>
        <v>0</v>
      </c>
      <c r="H79" s="38">
        <f t="shared" si="20"/>
        <v>0</v>
      </c>
      <c r="I79" s="38">
        <f t="shared" si="20"/>
        <v>0</v>
      </c>
      <c r="J79" s="38">
        <f t="shared" si="20"/>
        <v>0</v>
      </c>
      <c r="K79" s="38">
        <f t="shared" si="20"/>
        <v>0</v>
      </c>
      <c r="L79" s="38">
        <f t="shared" si="20"/>
        <v>0.12792323852476484</v>
      </c>
      <c r="M79" s="38">
        <f t="shared" si="20"/>
        <v>1.9218768143240559</v>
      </c>
      <c r="N79" s="38">
        <f t="shared" si="20"/>
        <v>0.10452111982051412</v>
      </c>
      <c r="O79" s="38">
        <f t="shared" si="20"/>
        <v>0</v>
      </c>
      <c r="P79" s="38">
        <f t="shared" si="20"/>
        <v>0.62574896246562883</v>
      </c>
      <c r="Q79" s="38">
        <f t="shared" si="20"/>
        <v>0.7457503258362832</v>
      </c>
      <c r="R79" s="38">
        <f t="shared" si="20"/>
        <v>0</v>
      </c>
      <c r="S79" s="38">
        <f t="shared" si="20"/>
        <v>0</v>
      </c>
      <c r="T79" s="38">
        <f t="shared" si="20"/>
        <v>0.10377296073740795</v>
      </c>
      <c r="U79" s="38">
        <f t="shared" si="20"/>
        <v>0.13305308510593417</v>
      </c>
      <c r="V79" s="38">
        <f t="shared" si="20"/>
        <v>0.20329897895137755</v>
      </c>
      <c r="W79" s="38">
        <f t="shared" si="20"/>
        <v>2.8973615326899571</v>
      </c>
      <c r="X79" s="38">
        <f t="shared" si="20"/>
        <v>0.12657669773043209</v>
      </c>
      <c r="Y79" s="38">
        <f t="shared" si="20"/>
        <v>0.16248778881518766</v>
      </c>
      <c r="Z79" s="38">
        <f t="shared" si="20"/>
        <v>0.156517931753622</v>
      </c>
      <c r="AA79" s="38">
        <f t="shared" si="20"/>
        <v>0.14034620776388335</v>
      </c>
      <c r="AB79" s="38">
        <f t="shared" si="20"/>
        <v>0.14032875732754227</v>
      </c>
      <c r="AC79" s="38">
        <f t="shared" ref="AC79:AE79" si="29">AC64/AC49</f>
        <v>0.22271245611570395</v>
      </c>
      <c r="AD79" s="38">
        <f t="shared" si="29"/>
        <v>1.0416491368587475</v>
      </c>
      <c r="AE79" s="38">
        <f t="shared" si="29"/>
        <v>0.37756515484508701</v>
      </c>
      <c r="AF79" s="38">
        <f t="shared" si="21"/>
        <v>0</v>
      </c>
      <c r="AG79" s="38">
        <f t="shared" si="21"/>
        <v>0.19111625850269992</v>
      </c>
      <c r="AH79" s="38">
        <f t="shared" si="21"/>
        <v>0.48429794439705998</v>
      </c>
    </row>
    <row r="80" spans="1:34" ht="16.350000000000001" customHeight="1">
      <c r="B80" s="40" t="s">
        <v>118</v>
      </c>
      <c r="C80" s="18" t="s">
        <v>66</v>
      </c>
      <c r="D80" s="39"/>
      <c r="E80" s="38">
        <f t="shared" si="22"/>
        <v>0</v>
      </c>
      <c r="F80" s="38">
        <f t="shared" si="20"/>
        <v>0</v>
      </c>
      <c r="G80" s="38">
        <f t="shared" si="20"/>
        <v>0</v>
      </c>
      <c r="H80" s="38">
        <f t="shared" si="20"/>
        <v>0</v>
      </c>
      <c r="I80" s="38">
        <f t="shared" si="20"/>
        <v>4.8473722443537079</v>
      </c>
      <c r="J80" s="38" t="e">
        <f t="shared" si="20"/>
        <v>#DIV/0!</v>
      </c>
      <c r="K80" s="38" t="e">
        <f t="shared" si="20"/>
        <v>#DIV/0!</v>
      </c>
      <c r="L80" s="38">
        <f t="shared" si="20"/>
        <v>0</v>
      </c>
      <c r="M80" s="38" t="e">
        <f t="shared" si="20"/>
        <v>#DIV/0!</v>
      </c>
      <c r="N80" s="38" t="e">
        <f t="shared" si="20"/>
        <v>#DIV/0!</v>
      </c>
      <c r="O80" s="38">
        <f t="shared" si="20"/>
        <v>0.53660939810187303</v>
      </c>
      <c r="P80" s="38">
        <f t="shared" si="20"/>
        <v>1.6002253780071702</v>
      </c>
      <c r="Q80" s="38">
        <f t="shared" si="20"/>
        <v>0</v>
      </c>
      <c r="R80" s="38">
        <f t="shared" si="20"/>
        <v>1.4516180715657605</v>
      </c>
      <c r="S80" s="38">
        <f t="shared" si="20"/>
        <v>0</v>
      </c>
      <c r="T80" s="38">
        <f t="shared" si="20"/>
        <v>0</v>
      </c>
      <c r="U80" s="38">
        <f t="shared" si="20"/>
        <v>0.78451229754794782</v>
      </c>
      <c r="V80" s="38">
        <f t="shared" si="20"/>
        <v>0</v>
      </c>
      <c r="W80" s="38">
        <f t="shared" si="20"/>
        <v>0.85762979910059245</v>
      </c>
      <c r="X80" s="38">
        <f t="shared" si="20"/>
        <v>0</v>
      </c>
      <c r="Y80" s="38">
        <f t="shared" si="20"/>
        <v>0</v>
      </c>
      <c r="Z80" s="38">
        <f t="shared" si="20"/>
        <v>0</v>
      </c>
      <c r="AA80" s="38">
        <f t="shared" si="20"/>
        <v>0</v>
      </c>
      <c r="AB80" s="38">
        <f t="shared" si="20"/>
        <v>0.13593492598905593</v>
      </c>
      <c r="AC80" s="38">
        <f t="shared" ref="AC80:AE80" si="30">AC65/AC50</f>
        <v>0</v>
      </c>
      <c r="AD80" s="38">
        <f t="shared" si="30"/>
        <v>0.69898618810282165</v>
      </c>
      <c r="AE80" s="38">
        <f t="shared" si="30"/>
        <v>0.83581242262988875</v>
      </c>
      <c r="AF80" s="38">
        <f t="shared" si="21"/>
        <v>1.1054192256354087</v>
      </c>
      <c r="AG80" s="38">
        <f t="shared" si="21"/>
        <v>1.1237585137349697</v>
      </c>
      <c r="AH80" s="38">
        <f t="shared" si="21"/>
        <v>1.0072081522890668</v>
      </c>
    </row>
    <row r="81" spans="1:34" ht="16.350000000000001" customHeight="1">
      <c r="B81" s="40" t="s">
        <v>101</v>
      </c>
      <c r="C81" s="18" t="s">
        <v>66</v>
      </c>
      <c r="D81" s="39"/>
      <c r="E81" s="38" t="e">
        <f t="shared" si="22"/>
        <v>#DIV/0!</v>
      </c>
      <c r="F81" s="38" t="e">
        <f t="shared" si="20"/>
        <v>#DIV/0!</v>
      </c>
      <c r="G81" s="38" t="e">
        <f t="shared" si="20"/>
        <v>#DIV/0!</v>
      </c>
      <c r="H81" s="38" t="e">
        <f t="shared" si="20"/>
        <v>#DIV/0!</v>
      </c>
      <c r="I81" s="38">
        <f t="shared" si="20"/>
        <v>1.333602781609168</v>
      </c>
      <c r="J81" s="38">
        <f t="shared" si="20"/>
        <v>0.12781576232182662</v>
      </c>
      <c r="K81" s="38">
        <f t="shared" si="20"/>
        <v>1.175550199728898</v>
      </c>
      <c r="L81" s="38">
        <f t="shared" si="20"/>
        <v>0.73901016809418762</v>
      </c>
      <c r="M81" s="38">
        <f t="shared" si="20"/>
        <v>0</v>
      </c>
      <c r="N81" s="38">
        <f t="shared" si="20"/>
        <v>0</v>
      </c>
      <c r="O81" s="38">
        <f t="shared" si="20"/>
        <v>0</v>
      </c>
      <c r="P81" s="38">
        <f t="shared" si="20"/>
        <v>0</v>
      </c>
      <c r="Q81" s="38">
        <f t="shared" si="20"/>
        <v>2.1331674547128028</v>
      </c>
      <c r="R81" s="38">
        <f t="shared" si="20"/>
        <v>3.4041856418821483</v>
      </c>
      <c r="S81" s="38">
        <f t="shared" si="20"/>
        <v>0.66045674431954882</v>
      </c>
      <c r="T81" s="38">
        <f t="shared" si="20"/>
        <v>5.5108965426533292</v>
      </c>
      <c r="U81" s="38">
        <f t="shared" si="20"/>
        <v>0</v>
      </c>
      <c r="V81" s="38">
        <f t="shared" si="20"/>
        <v>5.3901730095689264E-2</v>
      </c>
      <c r="W81" s="38">
        <f t="shared" si="20"/>
        <v>0.31307976699842732</v>
      </c>
      <c r="X81" s="38">
        <f t="shared" si="20"/>
        <v>5.9132696730785701E-2</v>
      </c>
      <c r="Y81" s="38">
        <f t="shared" si="20"/>
        <v>0.1970301115366182</v>
      </c>
      <c r="Z81" s="38">
        <f t="shared" si="20"/>
        <v>0.39781738858246046</v>
      </c>
      <c r="AA81" s="38">
        <f t="shared" si="20"/>
        <v>3.7295560450707819</v>
      </c>
      <c r="AB81" s="38">
        <f t="shared" si="20"/>
        <v>41.569970296870558</v>
      </c>
      <c r="AC81" s="38">
        <f t="shared" ref="AC81:AE81" si="31">AC66/AC51</f>
        <v>1.272111972563821</v>
      </c>
      <c r="AD81" s="38">
        <f t="shared" si="31"/>
        <v>2.1177782828473593</v>
      </c>
      <c r="AE81" s="38">
        <f t="shared" si="31"/>
        <v>4.936894784217067</v>
      </c>
      <c r="AF81" s="38">
        <f t="shared" si="21"/>
        <v>2.1994939228422812</v>
      </c>
      <c r="AG81" s="38">
        <f t="shared" si="21"/>
        <v>17.485251198350891</v>
      </c>
      <c r="AH81" s="38">
        <f t="shared" si="21"/>
        <v>0.71883433681856257</v>
      </c>
    </row>
    <row r="82" spans="1:34" ht="16.350000000000001" customHeight="1">
      <c r="B82" s="40" t="s">
        <v>86</v>
      </c>
      <c r="C82" s="18" t="s">
        <v>66</v>
      </c>
      <c r="D82" s="39"/>
      <c r="E82" s="38">
        <f t="shared" si="22"/>
        <v>0.78053290636077366</v>
      </c>
      <c r="F82" s="38">
        <f t="shared" si="20"/>
        <v>1.0835713626908889</v>
      </c>
      <c r="G82" s="38">
        <f t="shared" si="20"/>
        <v>1.1496085784635679</v>
      </c>
      <c r="H82" s="38">
        <f t="shared" si="20"/>
        <v>1.0795502588395613</v>
      </c>
      <c r="I82" s="38">
        <f t="shared" si="20"/>
        <v>1.1240773695337252</v>
      </c>
      <c r="J82" s="38">
        <f t="shared" si="20"/>
        <v>0.95460100211714516</v>
      </c>
      <c r="K82" s="38">
        <f t="shared" si="20"/>
        <v>0.99518540249069309</v>
      </c>
      <c r="L82" s="38">
        <f t="shared" si="20"/>
        <v>0.8428521305707688</v>
      </c>
      <c r="M82" s="38">
        <f t="shared" si="20"/>
        <v>1.0848289899327159</v>
      </c>
      <c r="N82" s="38">
        <f t="shared" si="20"/>
        <v>0.90366254461074702</v>
      </c>
      <c r="O82" s="38">
        <f t="shared" si="20"/>
        <v>0.79536816119099518</v>
      </c>
      <c r="P82" s="38">
        <f t="shared" si="20"/>
        <v>0.74570560524688423</v>
      </c>
      <c r="Q82" s="38">
        <f t="shared" si="20"/>
        <v>0.75839008940963193</v>
      </c>
      <c r="R82" s="38">
        <f t="shared" si="20"/>
        <v>0.87297055580959715</v>
      </c>
      <c r="S82" s="38">
        <f t="shared" si="20"/>
        <v>1.0412976183193012</v>
      </c>
      <c r="T82" s="38">
        <f t="shared" si="20"/>
        <v>1.2072017381501459</v>
      </c>
      <c r="U82" s="38">
        <f t="shared" si="20"/>
        <v>1.1350578716601638</v>
      </c>
      <c r="V82" s="38">
        <f t="shared" si="20"/>
        <v>1.0011973271535126</v>
      </c>
      <c r="W82" s="38">
        <f t="shared" si="20"/>
        <v>0.98497906728673645</v>
      </c>
      <c r="X82" s="38">
        <f t="shared" si="20"/>
        <v>1.0407991089011175</v>
      </c>
      <c r="Y82" s="38">
        <f t="shared" si="20"/>
        <v>1.2114540469250914</v>
      </c>
      <c r="Z82" s="38">
        <f t="shared" si="20"/>
        <v>0.93675850449474729</v>
      </c>
      <c r="AA82" s="38">
        <f t="shared" si="20"/>
        <v>0.71266092965262851</v>
      </c>
      <c r="AB82" s="38">
        <f t="shared" si="20"/>
        <v>0.71098617082560567</v>
      </c>
      <c r="AC82" s="38">
        <f t="shared" ref="AC82:AE82" si="32">AC67/AC52</f>
        <v>0.91079631473437328</v>
      </c>
      <c r="AD82" s="38">
        <f t="shared" si="32"/>
        <v>1.046846832503433</v>
      </c>
      <c r="AE82" s="38">
        <f t="shared" si="32"/>
        <v>1.0036334812905148</v>
      </c>
      <c r="AF82" s="38">
        <f t="shared" si="21"/>
        <v>1.2494431096072511</v>
      </c>
      <c r="AG82" s="38">
        <f t="shared" si="21"/>
        <v>1.1011702044823766</v>
      </c>
      <c r="AH82" s="38">
        <f t="shared" si="21"/>
        <v>0.96189437181362558</v>
      </c>
    </row>
    <row r="83" spans="1:34" ht="16.350000000000001" customHeight="1">
      <c r="B83" s="40" t="s">
        <v>2</v>
      </c>
      <c r="C83" s="18" t="s">
        <v>66</v>
      </c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</row>
    <row r="84" spans="1:34" ht="16.350000000000001" customHeight="1">
      <c r="B84" s="41" t="s">
        <v>108</v>
      </c>
      <c r="C84" s="18" t="s">
        <v>66</v>
      </c>
      <c r="D84" s="39"/>
      <c r="E84" s="72">
        <f t="shared" si="22"/>
        <v>0.69906997548499838</v>
      </c>
      <c r="F84" s="72">
        <f t="shared" ref="F84:AB84" si="33">F69/F54</f>
        <v>0.86196964735677128</v>
      </c>
      <c r="G84" s="72">
        <f t="shared" si="33"/>
        <v>2.3264510786005097</v>
      </c>
      <c r="H84" s="72">
        <f t="shared" si="33"/>
        <v>0.88505921843008439</v>
      </c>
      <c r="I84" s="72">
        <f t="shared" si="33"/>
        <v>0.85381679219568929</v>
      </c>
      <c r="J84" s="72">
        <f t="shared" si="33"/>
        <v>0.84932266076783125</v>
      </c>
      <c r="K84" s="72">
        <f t="shared" si="33"/>
        <v>0.81283522866094671</v>
      </c>
      <c r="L84" s="72">
        <f t="shared" si="33"/>
        <v>0.77939307718230189</v>
      </c>
      <c r="M84" s="72">
        <f t="shared" si="33"/>
        <v>1.031202381494166</v>
      </c>
      <c r="N84" s="72">
        <f t="shared" si="33"/>
        <v>0.84045177706260765</v>
      </c>
      <c r="O84" s="72">
        <f t="shared" si="33"/>
        <v>0.76330968233418173</v>
      </c>
      <c r="P84" s="72">
        <f t="shared" si="33"/>
        <v>0.97034844159068334</v>
      </c>
      <c r="Q84" s="72">
        <f t="shared" si="33"/>
        <v>0.75189611132641232</v>
      </c>
      <c r="R84" s="72">
        <f t="shared" si="33"/>
        <v>0.90903869635174783</v>
      </c>
      <c r="S84" s="72">
        <f t="shared" si="33"/>
        <v>0.91704550876969348</v>
      </c>
      <c r="T84" s="72">
        <f t="shared" si="33"/>
        <v>0.97263750829775686</v>
      </c>
      <c r="U84" s="72">
        <f t="shared" si="33"/>
        <v>0.86458517445870053</v>
      </c>
      <c r="V84" s="72">
        <f t="shared" si="33"/>
        <v>0.83232918440922765</v>
      </c>
      <c r="W84" s="72">
        <f t="shared" si="33"/>
        <v>1.0461539626241221</v>
      </c>
      <c r="X84" s="72">
        <f t="shared" si="33"/>
        <v>0.86480907504473237</v>
      </c>
      <c r="Y84" s="72">
        <f t="shared" si="33"/>
        <v>0.99491247509127456</v>
      </c>
      <c r="Z84" s="72">
        <f t="shared" si="33"/>
        <v>0.86102128970778691</v>
      </c>
      <c r="AA84" s="72">
        <f t="shared" si="33"/>
        <v>0.79396679854932883</v>
      </c>
      <c r="AB84" s="72">
        <f t="shared" si="33"/>
        <v>0.85584870022462967</v>
      </c>
      <c r="AC84" s="72">
        <f t="shared" ref="AC84:AH84" si="34">AC69/AC54</f>
        <v>0.84215536446357209</v>
      </c>
      <c r="AD84" s="72">
        <f t="shared" si="34"/>
        <v>0.95273054624153342</v>
      </c>
      <c r="AE84" s="72">
        <f t="shared" si="34"/>
        <v>0.88205741021389372</v>
      </c>
      <c r="AF84" s="72">
        <f t="shared" si="34"/>
        <v>0.93490170412654416</v>
      </c>
      <c r="AG84" s="72">
        <f t="shared" si="34"/>
        <v>0.9120249915287173</v>
      </c>
      <c r="AH84" s="72">
        <f t="shared" si="34"/>
        <v>0.87291319663126432</v>
      </c>
    </row>
    <row r="85" spans="1:34" ht="16.350000000000001" customHeight="1">
      <c r="B85" s="18"/>
      <c r="C85" s="39"/>
      <c r="D85" s="39"/>
    </row>
    <row r="86" spans="1:34" s="6" customFormat="1" ht="15.75" customHeight="1" thickBot="1">
      <c r="A86" s="3" t="s">
        <v>90</v>
      </c>
      <c r="B86" s="4"/>
      <c r="C86" s="4" t="s">
        <v>20</v>
      </c>
      <c r="D86" s="4" t="s">
        <v>21</v>
      </c>
      <c r="E86" s="19">
        <v>44927</v>
      </c>
      <c r="F86" s="19">
        <v>44958</v>
      </c>
      <c r="G86" s="19">
        <v>44986</v>
      </c>
      <c r="H86" s="19">
        <v>45017</v>
      </c>
      <c r="I86" s="19">
        <v>45047</v>
      </c>
      <c r="J86" s="19">
        <v>45078</v>
      </c>
      <c r="K86" s="19">
        <v>45108</v>
      </c>
      <c r="L86" s="19">
        <v>45139</v>
      </c>
      <c r="M86" s="19">
        <v>45170</v>
      </c>
      <c r="N86" s="19">
        <v>45200</v>
      </c>
      <c r="O86" s="19">
        <v>45231</v>
      </c>
      <c r="P86" s="19">
        <v>45261</v>
      </c>
      <c r="Q86" s="19">
        <v>45292</v>
      </c>
      <c r="R86" s="19">
        <v>45323</v>
      </c>
      <c r="S86" s="19">
        <v>45352</v>
      </c>
      <c r="T86" s="19">
        <v>45383</v>
      </c>
      <c r="U86" s="19">
        <v>45413</v>
      </c>
      <c r="V86" s="19">
        <v>45444</v>
      </c>
      <c r="W86" s="19">
        <v>45474</v>
      </c>
      <c r="X86" s="19">
        <v>45505</v>
      </c>
      <c r="Y86" s="19">
        <v>45536</v>
      </c>
      <c r="Z86" s="19">
        <v>45566</v>
      </c>
      <c r="AA86" s="19">
        <v>45597</v>
      </c>
      <c r="AB86" s="19">
        <v>45627</v>
      </c>
      <c r="AC86" s="19">
        <v>45658</v>
      </c>
      <c r="AD86" s="19">
        <v>45689</v>
      </c>
      <c r="AE86" s="19">
        <v>45717</v>
      </c>
    </row>
    <row r="87" spans="1:34" ht="16.350000000000001" customHeight="1">
      <c r="B87" s="44" t="s">
        <v>111</v>
      </c>
      <c r="C87" s="39" t="s">
        <v>119</v>
      </c>
      <c r="D87" s="37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34" ht="16.350000000000001" customHeight="1">
      <c r="B88" s="40" t="s">
        <v>112</v>
      </c>
      <c r="C88" s="39" t="s">
        <v>119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34" ht="16.350000000000001" customHeight="1">
      <c r="B89" s="40" t="s">
        <v>113</v>
      </c>
      <c r="C89" s="39" t="s">
        <v>119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34" ht="16.350000000000001" customHeight="1">
      <c r="B90" s="40" t="s">
        <v>114</v>
      </c>
      <c r="C90" s="39" t="s">
        <v>119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34" ht="16.350000000000001" customHeight="1">
      <c r="B91" s="40" t="s">
        <v>85</v>
      </c>
      <c r="C91" s="39" t="s">
        <v>119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34" ht="16.350000000000001" customHeight="1">
      <c r="B92" s="40" t="s">
        <v>115</v>
      </c>
      <c r="C92" s="39" t="s">
        <v>119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34" ht="16.350000000000001" customHeight="1">
      <c r="B93" s="40" t="s">
        <v>116</v>
      </c>
      <c r="C93" s="39" t="s">
        <v>119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34" ht="16.350000000000001" customHeight="1">
      <c r="B94" s="40" t="s">
        <v>117</v>
      </c>
      <c r="C94" s="39" t="s">
        <v>119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34" ht="16.350000000000001" customHeight="1">
      <c r="B95" s="40" t="s">
        <v>118</v>
      </c>
      <c r="C95" s="39" t="s">
        <v>119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34" ht="16.350000000000001" customHeight="1">
      <c r="B96" s="40" t="s">
        <v>101</v>
      </c>
      <c r="C96" s="39" t="s">
        <v>119</v>
      </c>
      <c r="D96" s="3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5"/>
    </row>
    <row r="97" spans="1:34" ht="16.350000000000001" customHeight="1">
      <c r="B97" s="40" t="s">
        <v>86</v>
      </c>
      <c r="C97" s="39" t="s">
        <v>119</v>
      </c>
      <c r="D97" s="39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5"/>
    </row>
    <row r="98" spans="1:34" ht="16.350000000000001" customHeight="1">
      <c r="B98" s="40" t="s">
        <v>2</v>
      </c>
      <c r="C98" s="39" t="s">
        <v>119</v>
      </c>
      <c r="D98" s="39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5"/>
    </row>
    <row r="99" spans="1:34" ht="16.350000000000001" customHeight="1">
      <c r="B99" s="41" t="s">
        <v>108</v>
      </c>
      <c r="C99" s="39" t="s">
        <v>119</v>
      </c>
      <c r="D99" s="39"/>
      <c r="E99" s="66">
        <f>SUBTOTAL(9,E87:E97)</f>
        <v>0</v>
      </c>
      <c r="F99" s="66">
        <f t="shared" ref="F99:I99" si="35">SUBTOTAL(9,F87:F97)</f>
        <v>0</v>
      </c>
      <c r="G99" s="66">
        <f t="shared" si="35"/>
        <v>0</v>
      </c>
      <c r="H99" s="66">
        <f t="shared" si="35"/>
        <v>0</v>
      </c>
      <c r="I99" s="66">
        <f t="shared" si="35"/>
        <v>0</v>
      </c>
      <c r="J99" s="66">
        <f>SUBTOTAL(9,J87:J97)</f>
        <v>0</v>
      </c>
      <c r="K99" s="66">
        <f t="shared" ref="K99:AB99" si="36">SUBTOTAL(9,K87:K97)</f>
        <v>0</v>
      </c>
      <c r="L99" s="66">
        <f t="shared" si="36"/>
        <v>0</v>
      </c>
      <c r="M99" s="66">
        <f t="shared" si="36"/>
        <v>0</v>
      </c>
      <c r="N99" s="66">
        <f t="shared" si="36"/>
        <v>0</v>
      </c>
      <c r="O99" s="66">
        <f t="shared" si="36"/>
        <v>0</v>
      </c>
      <c r="P99" s="66">
        <f t="shared" si="36"/>
        <v>0</v>
      </c>
      <c r="Q99" s="66">
        <f t="shared" si="36"/>
        <v>0</v>
      </c>
      <c r="R99" s="66">
        <f t="shared" si="36"/>
        <v>0</v>
      </c>
      <c r="S99" s="66">
        <f t="shared" si="36"/>
        <v>0</v>
      </c>
      <c r="T99" s="66">
        <f t="shared" si="36"/>
        <v>0</v>
      </c>
      <c r="U99" s="66">
        <f t="shared" si="36"/>
        <v>0</v>
      </c>
      <c r="V99" s="66">
        <f t="shared" si="36"/>
        <v>0</v>
      </c>
      <c r="W99" s="66">
        <f t="shared" si="36"/>
        <v>0</v>
      </c>
      <c r="X99" s="66">
        <f t="shared" si="36"/>
        <v>0</v>
      </c>
      <c r="Y99" s="66">
        <f t="shared" si="36"/>
        <v>0</v>
      </c>
      <c r="Z99" s="66">
        <f t="shared" si="36"/>
        <v>0</v>
      </c>
      <c r="AA99" s="66">
        <f t="shared" si="36"/>
        <v>0</v>
      </c>
      <c r="AB99" s="66">
        <f t="shared" si="36"/>
        <v>0</v>
      </c>
      <c r="AC99" s="67"/>
    </row>
    <row r="100" spans="1:34" ht="16.350000000000001" customHeight="1">
      <c r="B100" s="18"/>
      <c r="C100" s="39"/>
      <c r="D100" s="39"/>
    </row>
    <row r="101" spans="1:34" s="6" customFormat="1" ht="15.75" customHeight="1" thickBot="1">
      <c r="A101" s="3" t="s">
        <v>91</v>
      </c>
      <c r="B101" s="4"/>
      <c r="C101" s="4" t="s">
        <v>20</v>
      </c>
      <c r="D101" s="4" t="s">
        <v>21</v>
      </c>
      <c r="E101" s="19">
        <v>44927</v>
      </c>
      <c r="F101" s="19">
        <v>44958</v>
      </c>
      <c r="G101" s="19">
        <v>44986</v>
      </c>
      <c r="H101" s="19">
        <v>45017</v>
      </c>
      <c r="I101" s="19">
        <v>45047</v>
      </c>
      <c r="J101" s="19">
        <v>45078</v>
      </c>
      <c r="K101" s="19">
        <v>45108</v>
      </c>
      <c r="L101" s="19">
        <v>45139</v>
      </c>
      <c r="M101" s="19">
        <v>45170</v>
      </c>
      <c r="N101" s="19">
        <v>45200</v>
      </c>
      <c r="O101" s="19">
        <v>45231</v>
      </c>
      <c r="P101" s="19">
        <v>45261</v>
      </c>
      <c r="Q101" s="19">
        <v>45292</v>
      </c>
      <c r="R101" s="19">
        <v>45323</v>
      </c>
      <c r="S101" s="19">
        <v>45352</v>
      </c>
      <c r="T101" s="19">
        <v>45383</v>
      </c>
      <c r="U101" s="19">
        <v>45413</v>
      </c>
      <c r="V101" s="19">
        <v>45444</v>
      </c>
      <c r="W101" s="19">
        <v>45474</v>
      </c>
      <c r="X101" s="19">
        <v>45505</v>
      </c>
      <c r="Y101" s="19">
        <v>45536</v>
      </c>
      <c r="Z101" s="19">
        <v>45566</v>
      </c>
      <c r="AA101" s="19">
        <v>45597</v>
      </c>
      <c r="AB101" s="19">
        <v>45627</v>
      </c>
      <c r="AC101" s="19">
        <v>45658</v>
      </c>
      <c r="AD101" s="19">
        <v>45689</v>
      </c>
      <c r="AE101" s="19">
        <v>45717</v>
      </c>
      <c r="AF101" s="19">
        <v>45748</v>
      </c>
      <c r="AG101" s="19">
        <v>45778</v>
      </c>
      <c r="AH101" s="19">
        <v>45809</v>
      </c>
    </row>
    <row r="102" spans="1:34" ht="16.350000000000001" customHeight="1">
      <c r="B102" s="44" t="s">
        <v>111</v>
      </c>
      <c r="C102" s="39" t="s">
        <v>119</v>
      </c>
      <c r="D102" s="37"/>
      <c r="E102" s="64">
        <f>E42-E57</f>
        <v>24151389.15650104</v>
      </c>
      <c r="F102" s="64">
        <f t="shared" ref="F102:AB112" si="37">F42-F57</f>
        <v>30123053.931000024</v>
      </c>
      <c r="G102" s="64">
        <f t="shared" si="37"/>
        <v>26034761.506115004</v>
      </c>
      <c r="H102" s="64">
        <f t="shared" si="37"/>
        <v>7730072.6111817658</v>
      </c>
      <c r="I102" s="64">
        <f t="shared" si="37"/>
        <v>19252904.468720064</v>
      </c>
      <c r="J102" s="64">
        <f t="shared" si="37"/>
        <v>-12360463.98695004</v>
      </c>
      <c r="K102" s="64">
        <f t="shared" si="37"/>
        <v>17834345.532485038</v>
      </c>
      <c r="L102" s="64">
        <f t="shared" si="37"/>
        <v>10308229.159175068</v>
      </c>
      <c r="M102" s="64">
        <f t="shared" si="37"/>
        <v>-8538655.8473039865</v>
      </c>
      <c r="N102" s="64">
        <f t="shared" si="37"/>
        <v>14433192.020730048</v>
      </c>
      <c r="O102" s="64">
        <f t="shared" si="37"/>
        <v>14247648.869100034</v>
      </c>
      <c r="P102" s="64">
        <f t="shared" si="37"/>
        <v>-47149631.924574912</v>
      </c>
      <c r="Q102" s="64">
        <f t="shared" si="37"/>
        <v>36939559.517670065</v>
      </c>
      <c r="R102" s="64">
        <f t="shared" si="37"/>
        <v>-24465514.895479977</v>
      </c>
      <c r="S102" s="64">
        <f t="shared" si="37"/>
        <v>-127544.09322997928</v>
      </c>
      <c r="T102" s="64">
        <f t="shared" si="37"/>
        <v>12472120.200920016</v>
      </c>
      <c r="U102" s="64">
        <f t="shared" si="37"/>
        <v>14251847.676000059</v>
      </c>
      <c r="V102" s="64">
        <f t="shared" si="37"/>
        <v>9356512.6741679609</v>
      </c>
      <c r="W102" s="64">
        <f t="shared" si="37"/>
        <v>-3810571.3559579849</v>
      </c>
      <c r="X102" s="64">
        <f t="shared" si="37"/>
        <v>12167937.957286924</v>
      </c>
      <c r="Y102" s="64">
        <f t="shared" si="37"/>
        <v>-16216842.492424577</v>
      </c>
      <c r="Z102" s="64">
        <f t="shared" si="37"/>
        <v>9215845.9388500154</v>
      </c>
      <c r="AA102" s="64">
        <f t="shared" si="37"/>
        <v>8540757.2973700464</v>
      </c>
      <c r="AB102" s="64">
        <f t="shared" si="37"/>
        <v>51067857.846615016</v>
      </c>
      <c r="AC102" s="64">
        <f t="shared" ref="AC102:AH112" si="38">AC42-AC57</f>
        <v>9251726.8358473182</v>
      </c>
      <c r="AD102" s="64">
        <f t="shared" si="38"/>
        <v>30675526.328603894</v>
      </c>
      <c r="AE102" s="64">
        <f t="shared" si="38"/>
        <v>19085477.284696877</v>
      </c>
      <c r="AF102" s="64">
        <f t="shared" si="38"/>
        <v>18149033.81772095</v>
      </c>
      <c r="AG102" s="64">
        <f t="shared" si="38"/>
        <v>35770494.276655972</v>
      </c>
      <c r="AH102" s="64">
        <f t="shared" si="38"/>
        <v>11410172.323338747</v>
      </c>
    </row>
    <row r="103" spans="1:34" ht="16.350000000000001" customHeight="1">
      <c r="B103" s="40" t="s">
        <v>112</v>
      </c>
      <c r="C103" s="39" t="s">
        <v>119</v>
      </c>
      <c r="D103" s="39"/>
      <c r="E103" s="64">
        <f t="shared" ref="E103:T112" si="39">E43-E58</f>
        <v>512884.00399999996</v>
      </c>
      <c r="F103" s="64">
        <f t="shared" si="39"/>
        <v>161397.17199999999</v>
      </c>
      <c r="G103" s="64">
        <f t="shared" si="39"/>
        <v>1100724.0750000002</v>
      </c>
      <c r="H103" s="64">
        <f t="shared" si="39"/>
        <v>466736.86100000003</v>
      </c>
      <c r="I103" s="64">
        <f t="shared" si="39"/>
        <v>-50048.388000000268</v>
      </c>
      <c r="J103" s="64">
        <f t="shared" si="39"/>
        <v>-315002.26900000125</v>
      </c>
      <c r="K103" s="64">
        <f t="shared" si="39"/>
        <v>22717.688000000082</v>
      </c>
      <c r="L103" s="64">
        <f t="shared" si="39"/>
        <v>51294.253999999724</v>
      </c>
      <c r="M103" s="64">
        <f t="shared" si="39"/>
        <v>6181.8590000009572</v>
      </c>
      <c r="N103" s="64">
        <f t="shared" si="39"/>
        <v>433890.46700000018</v>
      </c>
      <c r="O103" s="64">
        <f t="shared" si="39"/>
        <v>63172.676999999676</v>
      </c>
      <c r="P103" s="64">
        <f t="shared" si="39"/>
        <v>147001.80700000038</v>
      </c>
      <c r="Q103" s="64">
        <f t="shared" si="39"/>
        <v>179060.55600000033</v>
      </c>
      <c r="R103" s="64">
        <f t="shared" si="39"/>
        <v>294856.22400000086</v>
      </c>
      <c r="S103" s="64">
        <f t="shared" si="39"/>
        <v>571105.72800000012</v>
      </c>
      <c r="T103" s="64">
        <f t="shared" si="39"/>
        <v>92039.47199999867</v>
      </c>
      <c r="U103" s="64">
        <f t="shared" si="37"/>
        <v>41343.126999999695</v>
      </c>
      <c r="V103" s="64">
        <f t="shared" si="37"/>
        <v>29615.485000000219</v>
      </c>
      <c r="W103" s="64">
        <f t="shared" si="37"/>
        <v>55894.966999999247</v>
      </c>
      <c r="X103" s="64">
        <f t="shared" si="37"/>
        <v>20480.05099999893</v>
      </c>
      <c r="Y103" s="64">
        <f t="shared" si="37"/>
        <v>28922.204000000143</v>
      </c>
      <c r="Z103" s="64">
        <f t="shared" si="37"/>
        <v>339670.05900000036</v>
      </c>
      <c r="AA103" s="64">
        <f t="shared" si="37"/>
        <v>493491.60106000025</v>
      </c>
      <c r="AB103" s="64">
        <f t="shared" si="37"/>
        <v>-383938.16669999983</v>
      </c>
      <c r="AC103" s="64">
        <f t="shared" ref="AC103:AE103" si="40">AC43-AC58</f>
        <v>375822.17399999988</v>
      </c>
      <c r="AD103" s="64">
        <f t="shared" si="40"/>
        <v>230371.58999999985</v>
      </c>
      <c r="AE103" s="64">
        <f t="shared" si="40"/>
        <v>1225495.1231209999</v>
      </c>
      <c r="AF103" s="64">
        <f t="shared" si="38"/>
        <v>214736.58814699983</v>
      </c>
      <c r="AG103" s="64">
        <f t="shared" si="38"/>
        <v>-268724.07121399743</v>
      </c>
      <c r="AH103" s="64">
        <f t="shared" si="38"/>
        <v>91315.233999999706</v>
      </c>
    </row>
    <row r="104" spans="1:34" ht="16.350000000000001" customHeight="1">
      <c r="B104" s="40" t="s">
        <v>113</v>
      </c>
      <c r="C104" s="39" t="s">
        <v>119</v>
      </c>
      <c r="D104" s="39"/>
      <c r="E104" s="64">
        <f t="shared" si="39"/>
        <v>427313.44951000006</v>
      </c>
      <c r="F104" s="64">
        <f t="shared" si="37"/>
        <v>424173.26300000004</v>
      </c>
      <c r="G104" s="64">
        <f t="shared" si="37"/>
        <v>120173.28902999999</v>
      </c>
      <c r="H104" s="64">
        <f t="shared" si="37"/>
        <v>16843.922724999953</v>
      </c>
      <c r="I104" s="64">
        <f t="shared" si="37"/>
        <v>112083.46846499998</v>
      </c>
      <c r="J104" s="64">
        <f t="shared" si="37"/>
        <v>170702.36064999993</v>
      </c>
      <c r="K104" s="64">
        <f t="shared" si="37"/>
        <v>-178617.4021399999</v>
      </c>
      <c r="L104" s="64">
        <f t="shared" si="37"/>
        <v>-48825.067630000063</v>
      </c>
      <c r="M104" s="64">
        <f t="shared" si="37"/>
        <v>74314.758944999892</v>
      </c>
      <c r="N104" s="64">
        <f t="shared" si="37"/>
        <v>102062.13151500007</v>
      </c>
      <c r="O104" s="64">
        <f t="shared" si="37"/>
        <v>257239.49145499989</v>
      </c>
      <c r="P104" s="64">
        <f t="shared" si="37"/>
        <v>182122.86740999995</v>
      </c>
      <c r="Q104" s="64">
        <f t="shared" si="37"/>
        <v>278286.7511420002</v>
      </c>
      <c r="R104" s="64">
        <f t="shared" si="37"/>
        <v>378075.39395600022</v>
      </c>
      <c r="S104" s="64">
        <f t="shared" si="37"/>
        <v>-44136.837243999937</v>
      </c>
      <c r="T104" s="64">
        <f t="shared" si="37"/>
        <v>-179029.25292</v>
      </c>
      <c r="U104" s="64">
        <f t="shared" si="37"/>
        <v>132538.15299999993</v>
      </c>
      <c r="V104" s="64">
        <f t="shared" si="37"/>
        <v>163179.23901599995</v>
      </c>
      <c r="W104" s="64">
        <f t="shared" si="37"/>
        <v>346417.2231820001</v>
      </c>
      <c r="X104" s="64">
        <f t="shared" si="37"/>
        <v>276105.88963799999</v>
      </c>
      <c r="Y104" s="64">
        <f t="shared" si="37"/>
        <v>110735.84142600012</v>
      </c>
      <c r="Z104" s="64">
        <f t="shared" si="37"/>
        <v>175662.58866800007</v>
      </c>
      <c r="AA104" s="64">
        <f t="shared" si="37"/>
        <v>-379347.91056600004</v>
      </c>
      <c r="AB104" s="64">
        <f t="shared" si="37"/>
        <v>-42957495.176685989</v>
      </c>
      <c r="AC104" s="64">
        <f t="shared" ref="AC104:AE104" si="41">AC44-AC59</f>
        <v>-344276.22687599994</v>
      </c>
      <c r="AD104" s="64">
        <f t="shared" si="41"/>
        <v>753116.96514799993</v>
      </c>
      <c r="AE104" s="64">
        <f t="shared" si="41"/>
        <v>314746.38138200005</v>
      </c>
      <c r="AF104" s="64">
        <f t="shared" si="38"/>
        <v>455949.96092599991</v>
      </c>
      <c r="AG104" s="64">
        <f t="shared" si="38"/>
        <v>268891.3906540001</v>
      </c>
      <c r="AH104" s="64">
        <f t="shared" si="38"/>
        <v>-290725.42553299991</v>
      </c>
    </row>
    <row r="105" spans="1:34" ht="16.350000000000001" customHeight="1">
      <c r="B105" s="40" t="s">
        <v>114</v>
      </c>
      <c r="C105" s="39" t="s">
        <v>119</v>
      </c>
      <c r="D105" s="39"/>
      <c r="E105" s="64">
        <f t="shared" si="39"/>
        <v>22799074.895964999</v>
      </c>
      <c r="F105" s="64">
        <f t="shared" si="37"/>
        <v>1755073.2760000005</v>
      </c>
      <c r="G105" s="64">
        <f t="shared" si="37"/>
        <v>-30692074.656194996</v>
      </c>
      <c r="H105" s="64">
        <f t="shared" si="37"/>
        <v>-2681424.6171869468</v>
      </c>
      <c r="I105" s="64">
        <f t="shared" si="37"/>
        <v>447452.03042500094</v>
      </c>
      <c r="J105" s="64">
        <f t="shared" si="37"/>
        <v>3041143.8889450021</v>
      </c>
      <c r="K105" s="64">
        <f t="shared" si="37"/>
        <v>185093.44266000018</v>
      </c>
      <c r="L105" s="64">
        <f t="shared" si="37"/>
        <v>1568356.4981649984</v>
      </c>
      <c r="M105" s="64">
        <f t="shared" si="37"/>
        <v>1387001.650890002</v>
      </c>
      <c r="N105" s="64">
        <f t="shared" si="37"/>
        <v>-694054.71761999652</v>
      </c>
      <c r="O105" s="64">
        <f t="shared" si="37"/>
        <v>7433837.5770499986</v>
      </c>
      <c r="P105" s="64">
        <f t="shared" si="37"/>
        <v>-9519493.9413150027</v>
      </c>
      <c r="Q105" s="64">
        <f t="shared" si="37"/>
        <v>20853146.800049998</v>
      </c>
      <c r="R105" s="64">
        <f t="shared" si="37"/>
        <v>11965103.976049999</v>
      </c>
      <c r="S105" s="64">
        <f t="shared" si="37"/>
        <v>5549377.7925499994</v>
      </c>
      <c r="T105" s="64">
        <f t="shared" si="37"/>
        <v>-1845046.2389500011</v>
      </c>
      <c r="U105" s="64">
        <f t="shared" si="37"/>
        <v>-242980.2444000002</v>
      </c>
      <c r="V105" s="64">
        <f t="shared" si="37"/>
        <v>2303557.2473500017</v>
      </c>
      <c r="W105" s="64">
        <f t="shared" si="37"/>
        <v>1754612.9865400009</v>
      </c>
      <c r="X105" s="64">
        <f t="shared" si="37"/>
        <v>2100557.117881</v>
      </c>
      <c r="Y105" s="64">
        <f t="shared" si="37"/>
        <v>3326356.4714499973</v>
      </c>
      <c r="Z105" s="64">
        <f t="shared" si="37"/>
        <v>2435105.0936000012</v>
      </c>
      <c r="AA105" s="64">
        <f t="shared" si="37"/>
        <v>4900618.3038400002</v>
      </c>
      <c r="AB105" s="64">
        <f t="shared" si="37"/>
        <v>-23729689.059535991</v>
      </c>
      <c r="AC105" s="64">
        <f t="shared" ref="AC105:AE105" si="42">AC45-AC60</f>
        <v>23722196.184149995</v>
      </c>
      <c r="AD105" s="64">
        <f t="shared" si="42"/>
        <v>5910534.3210000023</v>
      </c>
      <c r="AE105" s="64">
        <f t="shared" si="42"/>
        <v>10226222.760715999</v>
      </c>
      <c r="AF105" s="64">
        <f t="shared" si="38"/>
        <v>698098.31156100146</v>
      </c>
      <c r="AG105" s="64">
        <f t="shared" si="38"/>
        <v>-1436949.319752004</v>
      </c>
      <c r="AH105" s="64">
        <f t="shared" si="38"/>
        <v>3560575.5475930013</v>
      </c>
    </row>
    <row r="106" spans="1:34" ht="16.350000000000001" customHeight="1">
      <c r="B106" s="40" t="s">
        <v>85</v>
      </c>
      <c r="C106" s="39" t="s">
        <v>119</v>
      </c>
      <c r="D106" s="39"/>
      <c r="E106" s="64">
        <f t="shared" si="39"/>
        <v>3690457.9044000003</v>
      </c>
      <c r="F106" s="64">
        <f t="shared" si="37"/>
        <v>2779401.2199999997</v>
      </c>
      <c r="G106" s="64">
        <f t="shared" si="37"/>
        <v>-321525873.24289995</v>
      </c>
      <c r="H106" s="64">
        <f t="shared" si="37"/>
        <v>12801862.858999997</v>
      </c>
      <c r="I106" s="64">
        <f t="shared" si="37"/>
        <v>15668923.878000002</v>
      </c>
      <c r="J106" s="64">
        <f t="shared" si="37"/>
        <v>18205294.004999999</v>
      </c>
      <c r="K106" s="64">
        <f t="shared" si="37"/>
        <v>20119622.883520003</v>
      </c>
      <c r="L106" s="64">
        <f t="shared" si="37"/>
        <v>21217895.743999995</v>
      </c>
      <c r="M106" s="64">
        <f t="shared" si="37"/>
        <v>14931341.142999992</v>
      </c>
      <c r="N106" s="64">
        <f t="shared" si="37"/>
        <v>-3558184.6753000002</v>
      </c>
      <c r="O106" s="64">
        <f t="shared" si="37"/>
        <v>1762590.7478999998</v>
      </c>
      <c r="P106" s="64">
        <f t="shared" si="37"/>
        <v>1113800.6587999994</v>
      </c>
      <c r="Q106" s="64">
        <f t="shared" si="37"/>
        <v>3920508.5580000002</v>
      </c>
      <c r="R106" s="64">
        <f t="shared" si="37"/>
        <v>1640543.1009999998</v>
      </c>
      <c r="S106" s="64">
        <f t="shared" si="37"/>
        <v>-844082.08499999996</v>
      </c>
      <c r="T106" s="64">
        <f t="shared" si="37"/>
        <v>5631182.6683</v>
      </c>
      <c r="U106" s="64">
        <f t="shared" si="37"/>
        <v>14429315.492999997</v>
      </c>
      <c r="V106" s="64">
        <f t="shared" si="37"/>
        <v>14352957.804200005</v>
      </c>
      <c r="W106" s="64">
        <f t="shared" si="37"/>
        <v>15893126.311499994</v>
      </c>
      <c r="X106" s="64">
        <f t="shared" si="37"/>
        <v>15929732.100299992</v>
      </c>
      <c r="Y106" s="64">
        <f t="shared" si="37"/>
        <v>2809280.0922000036</v>
      </c>
      <c r="Z106" s="64">
        <f t="shared" si="37"/>
        <v>4246435.6629999997</v>
      </c>
      <c r="AA106" s="64">
        <f t="shared" si="37"/>
        <v>2981589.9290000005</v>
      </c>
      <c r="AB106" s="64">
        <f t="shared" si="37"/>
        <v>-631985.29088999983</v>
      </c>
      <c r="AC106" s="64">
        <f t="shared" ref="AC106:AE106" si="43">AC46-AC61</f>
        <v>3560299.4615000011</v>
      </c>
      <c r="AD106" s="64">
        <f t="shared" si="43"/>
        <v>-2266940.54</v>
      </c>
      <c r="AE106" s="64">
        <f t="shared" si="43"/>
        <v>5074063.8905309988</v>
      </c>
      <c r="AF106" s="64">
        <f t="shared" si="38"/>
        <v>11234688.614962997</v>
      </c>
      <c r="AG106" s="64">
        <f t="shared" si="38"/>
        <v>27860941.056956001</v>
      </c>
      <c r="AH106" s="64">
        <f t="shared" si="38"/>
        <v>29517250.678544</v>
      </c>
    </row>
    <row r="107" spans="1:34" ht="16.350000000000001" customHeight="1">
      <c r="B107" s="40" t="s">
        <v>115</v>
      </c>
      <c r="C107" s="39" t="s">
        <v>119</v>
      </c>
      <c r="D107" s="39"/>
      <c r="E107" s="64">
        <f t="shared" si="39"/>
        <v>8163872.407800002</v>
      </c>
      <c r="F107" s="64">
        <f t="shared" si="37"/>
        <v>5231647.027999999</v>
      </c>
      <c r="G107" s="64">
        <f t="shared" si="37"/>
        <v>3754226.0370000005</v>
      </c>
      <c r="H107" s="64">
        <f t="shared" si="37"/>
        <v>9990.8813000004739</v>
      </c>
      <c r="I107" s="64">
        <f t="shared" si="37"/>
        <v>4248269.0540000014</v>
      </c>
      <c r="J107" s="64">
        <f t="shared" si="37"/>
        <v>3925137.2749999999</v>
      </c>
      <c r="K107" s="64">
        <f t="shared" si="37"/>
        <v>3753108.0149400006</v>
      </c>
      <c r="L107" s="64">
        <f t="shared" si="37"/>
        <v>4629312.1620000005</v>
      </c>
      <c r="M107" s="64">
        <f t="shared" si="37"/>
        <v>3287258.0379000008</v>
      </c>
      <c r="N107" s="64">
        <f t="shared" si="37"/>
        <v>2169932.4323999989</v>
      </c>
      <c r="O107" s="64">
        <f t="shared" si="37"/>
        <v>5010043.2720000017</v>
      </c>
      <c r="P107" s="64">
        <f t="shared" si="37"/>
        <v>3624083.1090999995</v>
      </c>
      <c r="Q107" s="64">
        <f t="shared" si="37"/>
        <v>5161627.909</v>
      </c>
      <c r="R107" s="64">
        <f t="shared" si="37"/>
        <v>6376031.1696000006</v>
      </c>
      <c r="S107" s="64">
        <f t="shared" si="37"/>
        <v>3932358.9346999996</v>
      </c>
      <c r="T107" s="64">
        <f t="shared" si="37"/>
        <v>2636315.9166000001</v>
      </c>
      <c r="U107" s="64">
        <f t="shared" si="37"/>
        <v>2632729.2966999998</v>
      </c>
      <c r="V107" s="64">
        <f t="shared" si="37"/>
        <v>4615642.3235999998</v>
      </c>
      <c r="W107" s="64">
        <f t="shared" si="37"/>
        <v>4394832.5402230006</v>
      </c>
      <c r="X107" s="64">
        <f t="shared" si="37"/>
        <v>-1389651.4088279996</v>
      </c>
      <c r="Y107" s="64">
        <f t="shared" si="37"/>
        <v>-136437.8749870006</v>
      </c>
      <c r="Z107" s="64">
        <f t="shared" si="37"/>
        <v>3755150.4270200012</v>
      </c>
      <c r="AA107" s="64">
        <f t="shared" si="37"/>
        <v>5576960.4038300011</v>
      </c>
      <c r="AB107" s="64">
        <f t="shared" si="37"/>
        <v>4335314.4236500002</v>
      </c>
      <c r="AC107" s="64">
        <f t="shared" ref="AC107:AE107" si="44">AC47-AC62</f>
        <v>4866267.4124999987</v>
      </c>
      <c r="AD107" s="64">
        <f t="shared" si="44"/>
        <v>3182987.9695330011</v>
      </c>
      <c r="AE107" s="64">
        <f t="shared" si="44"/>
        <v>5224535.0745380009</v>
      </c>
      <c r="AF107" s="64">
        <f t="shared" si="38"/>
        <v>1958723.0906839999</v>
      </c>
      <c r="AG107" s="64">
        <f t="shared" si="38"/>
        <v>2146964.2014909997</v>
      </c>
      <c r="AH107" s="64">
        <f t="shared" si="38"/>
        <v>3793428.4099849998</v>
      </c>
    </row>
    <row r="108" spans="1:34" ht="16.350000000000001" customHeight="1">
      <c r="B108" s="40" t="s">
        <v>116</v>
      </c>
      <c r="C108" s="39" t="s">
        <v>119</v>
      </c>
      <c r="D108" s="39"/>
      <c r="E108" s="64">
        <f t="shared" si="39"/>
        <v>1135310.5250000001</v>
      </c>
      <c r="F108" s="64">
        <f t="shared" si="37"/>
        <v>104209.554</v>
      </c>
      <c r="G108" s="64">
        <f t="shared" si="37"/>
        <v>-136634728.98599997</v>
      </c>
      <c r="H108" s="64">
        <f t="shared" si="37"/>
        <v>1003802.2699999999</v>
      </c>
      <c r="I108" s="64">
        <f t="shared" si="37"/>
        <v>1218278.0699999998</v>
      </c>
      <c r="J108" s="64">
        <f t="shared" si="37"/>
        <v>2573898.9479999999</v>
      </c>
      <c r="K108" s="64">
        <f t="shared" si="37"/>
        <v>3356535.6379999998</v>
      </c>
      <c r="L108" s="64">
        <f t="shared" si="37"/>
        <v>2228465.5360000003</v>
      </c>
      <c r="M108" s="64">
        <f t="shared" si="37"/>
        <v>1098389.9079999998</v>
      </c>
      <c r="N108" s="64">
        <f t="shared" si="37"/>
        <v>655478.11800000002</v>
      </c>
      <c r="O108" s="64">
        <f t="shared" si="37"/>
        <v>536652.23199999984</v>
      </c>
      <c r="P108" s="64">
        <f t="shared" si="37"/>
        <v>895406.98199999996</v>
      </c>
      <c r="Q108" s="64">
        <f t="shared" si="37"/>
        <v>1066196.8050000002</v>
      </c>
      <c r="R108" s="64">
        <f t="shared" si="37"/>
        <v>750523.6398</v>
      </c>
      <c r="S108" s="64">
        <f t="shared" si="37"/>
        <v>705929.1272000001</v>
      </c>
      <c r="T108" s="64">
        <f t="shared" si="37"/>
        <v>1733644.0470999996</v>
      </c>
      <c r="U108" s="64">
        <f t="shared" si="37"/>
        <v>4905618.4269999992</v>
      </c>
      <c r="V108" s="64">
        <f t="shared" si="37"/>
        <v>9033213.4009999987</v>
      </c>
      <c r="W108" s="64">
        <f t="shared" si="37"/>
        <v>11369335.408</v>
      </c>
      <c r="X108" s="64">
        <f t="shared" si="37"/>
        <v>5250384.6099999994</v>
      </c>
      <c r="Y108" s="64">
        <f t="shared" si="37"/>
        <v>3201017.1924999999</v>
      </c>
      <c r="Z108" s="64">
        <f t="shared" si="37"/>
        <v>492616.02629999979</v>
      </c>
      <c r="AA108" s="64">
        <f t="shared" si="37"/>
        <v>642950.17000000016</v>
      </c>
      <c r="AB108" s="64">
        <f t="shared" si="37"/>
        <v>-148792.01850000024</v>
      </c>
      <c r="AC108" s="64">
        <f t="shared" ref="AC108:AE108" si="45">AC48-AC63</f>
        <v>808322.16700000002</v>
      </c>
      <c r="AD108" s="64">
        <f t="shared" si="45"/>
        <v>52781.600000000093</v>
      </c>
      <c r="AE108" s="64">
        <f t="shared" si="45"/>
        <v>1454031.2058245793</v>
      </c>
      <c r="AF108" s="64">
        <f t="shared" si="38"/>
        <v>815222.09199999983</v>
      </c>
      <c r="AG108" s="64">
        <f t="shared" si="38"/>
        <v>889736.44999999984</v>
      </c>
      <c r="AH108" s="64">
        <f t="shared" si="38"/>
        <v>229353.33469999989</v>
      </c>
    </row>
    <row r="109" spans="1:34" ht="16.350000000000001" customHeight="1">
      <c r="B109" s="40" t="s">
        <v>117</v>
      </c>
      <c r="C109" s="39" t="s">
        <v>119</v>
      </c>
      <c r="D109" s="39"/>
      <c r="E109" s="64">
        <f t="shared" si="39"/>
        <v>26184761.219999999</v>
      </c>
      <c r="F109" s="64">
        <f t="shared" si="37"/>
        <v>23323610.340000004</v>
      </c>
      <c r="G109" s="64">
        <f t="shared" si="37"/>
        <v>25028535.920000002</v>
      </c>
      <c r="H109" s="64">
        <f t="shared" si="37"/>
        <v>24155079.960000001</v>
      </c>
      <c r="I109" s="64">
        <f t="shared" si="37"/>
        <v>18912950.099999998</v>
      </c>
      <c r="J109" s="64">
        <f t="shared" si="37"/>
        <v>21507028.940000001</v>
      </c>
      <c r="K109" s="64">
        <f t="shared" si="37"/>
        <v>22713823</v>
      </c>
      <c r="L109" s="64">
        <f t="shared" si="37"/>
        <v>20451563.880000003</v>
      </c>
      <c r="M109" s="64">
        <f t="shared" si="37"/>
        <v>-21105712.669999998</v>
      </c>
      <c r="N109" s="64">
        <f t="shared" si="37"/>
        <v>21418610.940000001</v>
      </c>
      <c r="O109" s="64">
        <f t="shared" si="37"/>
        <v>23424969.239999998</v>
      </c>
      <c r="P109" s="64">
        <f t="shared" si="37"/>
        <v>9270316.7400000021</v>
      </c>
      <c r="Q109" s="64">
        <f t="shared" si="37"/>
        <v>7500489.9599999972</v>
      </c>
      <c r="R109" s="64">
        <f t="shared" si="37"/>
        <v>27989389.800000001</v>
      </c>
      <c r="S109" s="64">
        <f t="shared" si="37"/>
        <v>29780046.239999998</v>
      </c>
      <c r="T109" s="64">
        <f t="shared" si="37"/>
        <v>25909264.789999999</v>
      </c>
      <c r="U109" s="64">
        <f t="shared" si="37"/>
        <v>26063188.664999999</v>
      </c>
      <c r="V109" s="64">
        <f t="shared" si="37"/>
        <v>23513183.149999999</v>
      </c>
      <c r="W109" s="64">
        <f t="shared" si="37"/>
        <v>-58937255.850000001</v>
      </c>
      <c r="X109" s="64">
        <f t="shared" si="37"/>
        <v>27601393.239999998</v>
      </c>
      <c r="Y109" s="64">
        <f t="shared" si="37"/>
        <v>25771543.119999997</v>
      </c>
      <c r="Z109" s="64">
        <f t="shared" si="37"/>
        <v>26945221.509000003</v>
      </c>
      <c r="AA109" s="64">
        <f t="shared" si="37"/>
        <v>27563566.744680002</v>
      </c>
      <c r="AB109" s="64">
        <f t="shared" si="37"/>
        <v>30630615.528999999</v>
      </c>
      <c r="AC109" s="64">
        <f t="shared" ref="AC109:AE109" si="46">AC49-AC64</f>
        <v>28768849.915199995</v>
      </c>
      <c r="AD109" s="64">
        <f t="shared" si="46"/>
        <v>-1399434.5490000024</v>
      </c>
      <c r="AE109" s="64">
        <f t="shared" si="46"/>
        <v>23195091.387400001</v>
      </c>
      <c r="AF109" s="64">
        <f t="shared" si="38"/>
        <v>41245818.608599998</v>
      </c>
      <c r="AG109" s="64">
        <f t="shared" si="38"/>
        <v>33859337.675800003</v>
      </c>
      <c r="AH109" s="64">
        <f t="shared" si="38"/>
        <v>20232047.585199997</v>
      </c>
    </row>
    <row r="110" spans="1:34" ht="16.350000000000001" customHeight="1">
      <c r="B110" s="40" t="s">
        <v>118</v>
      </c>
      <c r="C110" s="39" t="s">
        <v>119</v>
      </c>
      <c r="D110" s="39"/>
      <c r="E110" s="64">
        <f t="shared" si="39"/>
        <v>408405.19</v>
      </c>
      <c r="F110" s="64">
        <f t="shared" si="37"/>
        <v>302712.53000000003</v>
      </c>
      <c r="G110" s="64">
        <f t="shared" si="37"/>
        <v>209905.42</v>
      </c>
      <c r="H110" s="64">
        <f t="shared" si="37"/>
        <v>181610.8884</v>
      </c>
      <c r="I110" s="64">
        <f t="shared" si="37"/>
        <v>-396851.33</v>
      </c>
      <c r="J110" s="64">
        <f t="shared" si="37"/>
        <v>0</v>
      </c>
      <c r="K110" s="64">
        <f t="shared" si="37"/>
        <v>-400000</v>
      </c>
      <c r="L110" s="64">
        <f t="shared" si="37"/>
        <v>285094.30119999999</v>
      </c>
      <c r="M110" s="64">
        <f t="shared" si="37"/>
        <v>0</v>
      </c>
      <c r="N110" s="64">
        <f t="shared" si="37"/>
        <v>0</v>
      </c>
      <c r="O110" s="64">
        <f t="shared" si="37"/>
        <v>172710.58000000002</v>
      </c>
      <c r="P110" s="64">
        <f t="shared" si="37"/>
        <v>-184575.33000000002</v>
      </c>
      <c r="Q110" s="64">
        <f t="shared" si="37"/>
        <v>404906.92</v>
      </c>
      <c r="R110" s="64">
        <f t="shared" si="37"/>
        <v>-183078.64999999997</v>
      </c>
      <c r="S110" s="64">
        <f t="shared" si="37"/>
        <v>199459.75</v>
      </c>
      <c r="T110" s="64">
        <f t="shared" si="37"/>
        <v>185053.04</v>
      </c>
      <c r="U110" s="64">
        <f t="shared" si="37"/>
        <v>54787.01999999999</v>
      </c>
      <c r="V110" s="64">
        <f t="shared" si="37"/>
        <v>233304.35</v>
      </c>
      <c r="W110" s="64">
        <f t="shared" si="37"/>
        <v>38180.979999999981</v>
      </c>
      <c r="X110" s="64">
        <f t="shared" si="37"/>
        <v>314995.90000000002</v>
      </c>
      <c r="Y110" s="64">
        <f t="shared" si="37"/>
        <v>244162.4</v>
      </c>
      <c r="Z110" s="64">
        <f t="shared" si="37"/>
        <v>238425.15</v>
      </c>
      <c r="AA110" s="64">
        <f t="shared" si="37"/>
        <v>374189.59</v>
      </c>
      <c r="AB110" s="64">
        <f t="shared" si="37"/>
        <v>440019.03</v>
      </c>
      <c r="AC110" s="64">
        <f t="shared" ref="AC110:AE110" si="47">AC50-AC65</f>
        <v>554513.29</v>
      </c>
      <c r="AD110" s="64">
        <f t="shared" si="47"/>
        <v>129193.03000000003</v>
      </c>
      <c r="AE110" s="64">
        <f t="shared" si="47"/>
        <v>58932.210000000021</v>
      </c>
      <c r="AF110" s="64">
        <f t="shared" si="38"/>
        <v>-28609.75</v>
      </c>
      <c r="AG110" s="64">
        <f t="shared" si="38"/>
        <v>-33038.729999999981</v>
      </c>
      <c r="AH110" s="64">
        <f t="shared" si="38"/>
        <v>-2146.9699999999721</v>
      </c>
    </row>
    <row r="111" spans="1:34" ht="16.350000000000001" customHeight="1">
      <c r="B111" s="40" t="s">
        <v>101</v>
      </c>
      <c r="C111" s="39" t="s">
        <v>119</v>
      </c>
      <c r="D111" s="39"/>
      <c r="E111" s="64">
        <f t="shared" si="39"/>
        <v>0</v>
      </c>
      <c r="F111" s="64">
        <f t="shared" si="37"/>
        <v>0</v>
      </c>
      <c r="G111" s="64">
        <f t="shared" si="37"/>
        <v>0</v>
      </c>
      <c r="H111" s="64">
        <f t="shared" si="37"/>
        <v>0</v>
      </c>
      <c r="I111" s="64">
        <f t="shared" si="37"/>
        <v>-1992096.1599999992</v>
      </c>
      <c r="J111" s="64">
        <f t="shared" si="37"/>
        <v>9230743.8611000013</v>
      </c>
      <c r="K111" s="64">
        <f t="shared" si="37"/>
        <v>-1140670.3700000001</v>
      </c>
      <c r="L111" s="64">
        <f t="shared" si="37"/>
        <v>1906361.1100000003</v>
      </c>
      <c r="M111" s="64">
        <f t="shared" si="37"/>
        <v>6393094.7199999997</v>
      </c>
      <c r="N111" s="64">
        <f t="shared" si="37"/>
        <v>6409927.04</v>
      </c>
      <c r="O111" s="64">
        <f t="shared" si="37"/>
        <v>6731500.1600000001</v>
      </c>
      <c r="P111" s="64">
        <f t="shared" si="37"/>
        <v>4008138.24</v>
      </c>
      <c r="Q111" s="64">
        <f t="shared" si="37"/>
        <v>-2390460.9715200001</v>
      </c>
      <c r="R111" s="64">
        <f t="shared" si="37"/>
        <v>-7768683.8624</v>
      </c>
      <c r="S111" s="64">
        <f t="shared" si="37"/>
        <v>822565.91935999971</v>
      </c>
      <c r="T111" s="64">
        <f t="shared" si="37"/>
        <v>-11050307.85</v>
      </c>
      <c r="U111" s="64">
        <f t="shared" si="37"/>
        <v>7291436.5800000001</v>
      </c>
      <c r="V111" s="64">
        <f t="shared" si="37"/>
        <v>7020912.0800000001</v>
      </c>
      <c r="W111" s="64">
        <f t="shared" si="37"/>
        <v>5485185.4495999999</v>
      </c>
      <c r="X111" s="64">
        <f t="shared" si="37"/>
        <v>7955558.8979200013</v>
      </c>
      <c r="Y111" s="64">
        <f t="shared" si="37"/>
        <v>6113049.54</v>
      </c>
      <c r="Z111" s="64">
        <f t="shared" si="37"/>
        <v>3784290.41</v>
      </c>
      <c r="AA111" s="64">
        <f t="shared" si="37"/>
        <v>-1976053.24404</v>
      </c>
      <c r="AB111" s="64">
        <f t="shared" si="37"/>
        <v>-5855665.04</v>
      </c>
      <c r="AC111" s="64">
        <f t="shared" ref="AC111:AE111" si="48">AC51-AC66</f>
        <v>-117808.55154399999</v>
      </c>
      <c r="AD111" s="64">
        <f t="shared" si="48"/>
        <v>-1373116.4</v>
      </c>
      <c r="AE111" s="64">
        <f t="shared" si="48"/>
        <v>-3987217.63</v>
      </c>
      <c r="AF111" s="64">
        <f t="shared" si="38"/>
        <v>-1090699.92</v>
      </c>
      <c r="AG111" s="64">
        <f t="shared" si="38"/>
        <v>-32326152.449999999</v>
      </c>
      <c r="AH111" s="64">
        <f t="shared" si="38"/>
        <v>1310000.04</v>
      </c>
    </row>
    <row r="112" spans="1:34" ht="16.350000000000001" customHeight="1">
      <c r="B112" s="40" t="s">
        <v>86</v>
      </c>
      <c r="C112" s="39" t="s">
        <v>119</v>
      </c>
      <c r="D112" s="39"/>
      <c r="E112" s="64">
        <f t="shared" si="39"/>
        <v>53618927.56309998</v>
      </c>
      <c r="F112" s="64">
        <f t="shared" si="37"/>
        <v>-14011756.038000047</v>
      </c>
      <c r="G112" s="64">
        <f t="shared" si="37"/>
        <v>-18643359.523599997</v>
      </c>
      <c r="H112" s="64">
        <f t="shared" si="37"/>
        <v>-8460193.6478233635</v>
      </c>
      <c r="I112" s="64">
        <f t="shared" si="37"/>
        <v>-11553811.27337499</v>
      </c>
      <c r="J112" s="64">
        <f t="shared" si="37"/>
        <v>4291360.9819000363</v>
      </c>
      <c r="K112" s="64">
        <f t="shared" si="37"/>
        <v>485242.24429999292</v>
      </c>
      <c r="L112" s="64">
        <f t="shared" si="37"/>
        <v>14986785.170399994</v>
      </c>
      <c r="M112" s="64">
        <f t="shared" si="37"/>
        <v>-7435374.7543000132</v>
      </c>
      <c r="N112" s="64">
        <f t="shared" si="37"/>
        <v>9847713.5526000112</v>
      </c>
      <c r="O112" s="64">
        <f t="shared" si="37"/>
        <v>27090559.957100004</v>
      </c>
      <c r="P112" s="64">
        <f t="shared" si="37"/>
        <v>51280130.991900027</v>
      </c>
      <c r="Q112" s="64">
        <f t="shared" si="37"/>
        <v>55898937.363000065</v>
      </c>
      <c r="R112" s="64">
        <f t="shared" si="37"/>
        <v>28061183.995999992</v>
      </c>
      <c r="S112" s="64">
        <f t="shared" si="37"/>
        <v>-6839663.273999989</v>
      </c>
      <c r="T112" s="64">
        <f t="shared" si="37"/>
        <v>-25581338.853</v>
      </c>
      <c r="U112" s="64">
        <f t="shared" si="37"/>
        <v>-15491746.169</v>
      </c>
      <c r="V112" s="64">
        <f t="shared" si="37"/>
        <v>-139673.12799100578</v>
      </c>
      <c r="W112" s="64">
        <f t="shared" si="37"/>
        <v>1951261.3079490215</v>
      </c>
      <c r="X112" s="64">
        <f t="shared" si="37"/>
        <v>-5432275.7630579919</v>
      </c>
      <c r="Y112" s="64">
        <f t="shared" si="37"/>
        <v>-23150662.701088011</v>
      </c>
      <c r="Z112" s="64">
        <f t="shared" si="37"/>
        <v>8104351.2425500005</v>
      </c>
      <c r="AA112" s="64">
        <f t="shared" si="37"/>
        <v>54291521.298600018</v>
      </c>
      <c r="AB112" s="64">
        <f t="shared" si="37"/>
        <v>77888372.476493001</v>
      </c>
      <c r="AC112" s="64">
        <f t="shared" ref="AC112:AE112" si="49">AC52-AC67</f>
        <v>23889123.629260033</v>
      </c>
      <c r="AD112" s="64">
        <f t="shared" si="49"/>
        <v>-10408762.991337985</v>
      </c>
      <c r="AE112" s="64">
        <f t="shared" si="49"/>
        <v>-741829.14715799689</v>
      </c>
      <c r="AF112" s="64">
        <f t="shared" si="38"/>
        <v>-40655515.360439032</v>
      </c>
      <c r="AG112" s="64">
        <f t="shared" si="38"/>
        <v>-16100312.96280399</v>
      </c>
      <c r="AH112" s="64">
        <f t="shared" si="38"/>
        <v>6477701.8155229986</v>
      </c>
    </row>
    <row r="113" spans="1:34" ht="16.350000000000001" customHeight="1">
      <c r="B113" s="40" t="s">
        <v>2</v>
      </c>
      <c r="C113" s="39" t="s">
        <v>119</v>
      </c>
      <c r="D113" s="39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</row>
    <row r="114" spans="1:34" ht="16.350000000000001" customHeight="1">
      <c r="B114" s="41" t="s">
        <v>108</v>
      </c>
      <c r="C114" s="39" t="s">
        <v>119</v>
      </c>
      <c r="D114" s="39"/>
      <c r="E114" s="66">
        <f>SUBTOTAL(9,E102:E112)</f>
        <v>141092396.31627601</v>
      </c>
      <c r="F114" s="66">
        <f t="shared" ref="F114:I114" si="50">SUBTOTAL(9,F102:F112)</f>
        <v>50193522.275999978</v>
      </c>
      <c r="G114" s="66">
        <f t="shared" si="50"/>
        <v>-451247710.16154993</v>
      </c>
      <c r="H114" s="66">
        <f t="shared" si="50"/>
        <v>35224381.988596454</v>
      </c>
      <c r="I114" s="66">
        <f t="shared" si="50"/>
        <v>45868053.918235093</v>
      </c>
      <c r="J114" s="66">
        <f>SUBTOTAL(9,J102:J112)</f>
        <v>50269844.004645005</v>
      </c>
      <c r="K114" s="66">
        <f t="shared" ref="K114:AB114" si="51">SUBTOTAL(9,K102:K112)</f>
        <v>66751200.671765037</v>
      </c>
      <c r="L114" s="66">
        <f t="shared" si="51"/>
        <v>77584532.747310057</v>
      </c>
      <c r="M114" s="66">
        <f t="shared" si="51"/>
        <v>-9902161.1938690022</v>
      </c>
      <c r="N114" s="66">
        <f t="shared" si="51"/>
        <v>51218567.309325062</v>
      </c>
      <c r="O114" s="66">
        <f t="shared" si="51"/>
        <v>86730924.803605035</v>
      </c>
      <c r="P114" s="66">
        <f t="shared" si="51"/>
        <v>13667300.200320117</v>
      </c>
      <c r="Q114" s="66">
        <f t="shared" si="51"/>
        <v>129812260.16834213</v>
      </c>
      <c r="R114" s="66">
        <f t="shared" si="51"/>
        <v>45038429.892526016</v>
      </c>
      <c r="S114" s="66">
        <f t="shared" si="51"/>
        <v>33705417.202336028</v>
      </c>
      <c r="T114" s="66">
        <f t="shared" si="51"/>
        <v>10003897.940050006</v>
      </c>
      <c r="U114" s="66">
        <f t="shared" si="51"/>
        <v>54068078.024300069</v>
      </c>
      <c r="V114" s="66">
        <f t="shared" si="51"/>
        <v>70482404.626342967</v>
      </c>
      <c r="W114" s="66">
        <f t="shared" si="51"/>
        <v>-21458980.031963967</v>
      </c>
      <c r="X114" s="66">
        <f t="shared" si="51"/>
        <v>64795218.59213993</v>
      </c>
      <c r="Y114" s="66">
        <f t="shared" si="51"/>
        <v>2101123.7930764072</v>
      </c>
      <c r="Z114" s="66">
        <f t="shared" si="51"/>
        <v>59732774.107988015</v>
      </c>
      <c r="AA114" s="66">
        <f t="shared" si="51"/>
        <v>103010244.18377408</v>
      </c>
      <c r="AB114" s="66">
        <f t="shared" si="51"/>
        <v>90654614.55344604</v>
      </c>
      <c r="AC114" s="66">
        <f t="shared" ref="AC114:AH114" si="52">SUBTOTAL(9,AC102:AC112)</f>
        <v>95335036.291037351</v>
      </c>
      <c r="AD114" s="66">
        <f t="shared" si="52"/>
        <v>25486257.323946916</v>
      </c>
      <c r="AE114" s="66">
        <f t="shared" si="52"/>
        <v>61129548.541051455</v>
      </c>
      <c r="AF114" s="66">
        <f t="shared" si="52"/>
        <v>32997446.054162905</v>
      </c>
      <c r="AG114" s="66">
        <f t="shared" si="52"/>
        <v>50631187.51778698</v>
      </c>
      <c r="AH114" s="66">
        <f t="shared" si="52"/>
        <v>76328972.573350742</v>
      </c>
    </row>
    <row r="115" spans="1:34" s="82" customFormat="1" ht="15.75" customHeight="1" thickBot="1">
      <c r="A115" s="78" t="s">
        <v>127</v>
      </c>
      <c r="B115" s="79"/>
      <c r="C115" s="79" t="s">
        <v>20</v>
      </c>
      <c r="D115" s="79" t="s">
        <v>21</v>
      </c>
      <c r="E115" s="80" t="s">
        <v>16</v>
      </c>
      <c r="F115" s="81" t="s">
        <v>17</v>
      </c>
      <c r="G115" s="80" t="s">
        <v>18</v>
      </c>
      <c r="H115" s="81" t="s">
        <v>19</v>
      </c>
      <c r="I115" s="80" t="s">
        <v>73</v>
      </c>
      <c r="J115" s="81" t="s">
        <v>74</v>
      </c>
      <c r="K115" s="80" t="s">
        <v>71</v>
      </c>
      <c r="L115" s="80" t="s">
        <v>72</v>
      </c>
      <c r="M115" s="1" t="s">
        <v>158</v>
      </c>
      <c r="AC115" s="19"/>
      <c r="AD115" s="19"/>
      <c r="AE115" s="19"/>
    </row>
    <row r="116" spans="1:34" s="83" customFormat="1" ht="16.350000000000001" customHeight="1">
      <c r="B116" s="84" t="s">
        <v>128</v>
      </c>
      <c r="C116" s="85" t="s">
        <v>65</v>
      </c>
      <c r="D116" s="85"/>
      <c r="E116" s="90">
        <v>562.22500000000002</v>
      </c>
      <c r="F116" s="90">
        <v>275.572</v>
      </c>
      <c r="G116" s="90">
        <v>297.63099999999997</v>
      </c>
      <c r="H116" s="90">
        <v>351.745</v>
      </c>
      <c r="I116" s="90">
        <v>417.01499999999999</v>
      </c>
      <c r="J116" s="90">
        <v>492.5</v>
      </c>
      <c r="K116" s="90">
        <v>486.93700000000001</v>
      </c>
      <c r="L116" s="90">
        <v>571.57600000000002</v>
      </c>
      <c r="M116" s="90">
        <v>622.6</v>
      </c>
      <c r="O116" s="90"/>
    </row>
    <row r="117" spans="1:34" s="83" customFormat="1" ht="16.350000000000001" customHeight="1">
      <c r="B117" s="86" t="s">
        <v>129</v>
      </c>
      <c r="C117" s="85" t="s">
        <v>65</v>
      </c>
      <c r="D117" s="85"/>
      <c r="E117" s="90">
        <v>37.438000000000002</v>
      </c>
      <c r="F117" s="90">
        <v>38.133000000000003</v>
      </c>
      <c r="G117" s="90">
        <v>38.829000000000001</v>
      </c>
      <c r="H117" s="90">
        <v>39.533999999999999</v>
      </c>
      <c r="I117" s="90">
        <v>40.716000000000001</v>
      </c>
      <c r="J117" s="90">
        <v>41.276000000000003</v>
      </c>
      <c r="K117" s="90">
        <v>41.856999999999999</v>
      </c>
      <c r="L117" s="90">
        <v>43.055999999999997</v>
      </c>
      <c r="M117" s="90">
        <v>44.44</v>
      </c>
      <c r="O117" s="90"/>
    </row>
    <row r="118" spans="1:34" s="83" customFormat="1" ht="16.350000000000001" customHeight="1">
      <c r="B118" s="84" t="s">
        <v>130</v>
      </c>
      <c r="C118" s="85" t="s">
        <v>65</v>
      </c>
      <c r="D118" s="85"/>
      <c r="E118" s="90"/>
      <c r="F118" s="90">
        <v>7.6340000000000003</v>
      </c>
      <c r="G118" s="90">
        <v>14.792</v>
      </c>
      <c r="H118" s="90">
        <v>31.942</v>
      </c>
      <c r="I118" s="90">
        <v>22.606000000000002</v>
      </c>
      <c r="J118" s="90">
        <v>25.867000000000001</v>
      </c>
      <c r="K118" s="90">
        <v>45.418999999999997</v>
      </c>
      <c r="L118" s="90">
        <v>41.372</v>
      </c>
      <c r="M118" s="90">
        <v>35.869999999999997</v>
      </c>
      <c r="O118" s="90"/>
    </row>
    <row r="119" spans="1:34" s="83" customFormat="1" ht="16.350000000000001" customHeight="1">
      <c r="B119" s="87" t="s">
        <v>131</v>
      </c>
      <c r="C119" s="85" t="s">
        <v>65</v>
      </c>
      <c r="D119" s="88"/>
      <c r="E119" s="90">
        <v>20.934999999999999</v>
      </c>
      <c r="F119" s="90">
        <v>31.783999999999999</v>
      </c>
      <c r="G119" s="90">
        <v>42.53</v>
      </c>
      <c r="H119" s="90">
        <v>6.2629999999999999</v>
      </c>
      <c r="I119" s="90">
        <v>28.552</v>
      </c>
      <c r="J119" s="90">
        <v>36.765999999999998</v>
      </c>
      <c r="K119" s="90">
        <v>48.843000000000004</v>
      </c>
      <c r="L119" s="90">
        <v>14.337</v>
      </c>
      <c r="M119" s="90">
        <v>37.6</v>
      </c>
      <c r="O119" s="90"/>
    </row>
    <row r="120" spans="1:34" s="83" customFormat="1" ht="16.350000000000001" customHeight="1">
      <c r="B120" s="84" t="s">
        <v>132</v>
      </c>
      <c r="C120" s="85" t="s">
        <v>65</v>
      </c>
      <c r="D120" s="89"/>
      <c r="E120" s="90">
        <v>6.8639999999999999</v>
      </c>
      <c r="F120" s="90">
        <v>6.87</v>
      </c>
      <c r="G120" s="90">
        <v>6.82</v>
      </c>
      <c r="H120" s="90">
        <v>6.83</v>
      </c>
      <c r="I120" s="90">
        <v>6.8470000000000004</v>
      </c>
      <c r="J120" s="90">
        <v>6.8540000000000001</v>
      </c>
      <c r="K120" s="90">
        <v>6.8579999999999997</v>
      </c>
      <c r="L120" s="90">
        <v>6.8710000000000004</v>
      </c>
      <c r="M120" s="90">
        <v>6.9</v>
      </c>
      <c r="O120" s="90"/>
    </row>
    <row r="121" spans="1:34" s="83" customFormat="1" ht="16.350000000000001" customHeight="1">
      <c r="B121" s="87" t="s">
        <v>133</v>
      </c>
      <c r="C121" s="85" t="s">
        <v>65</v>
      </c>
      <c r="D121" s="85"/>
      <c r="E121" s="90">
        <v>2.3610000000000002</v>
      </c>
      <c r="F121" s="90">
        <v>2.3610000000000002</v>
      </c>
      <c r="G121" s="90">
        <v>2.3610000000000002</v>
      </c>
      <c r="H121" s="90">
        <v>2.3610000000000002</v>
      </c>
      <c r="I121" s="90">
        <v>2.3610000000000002</v>
      </c>
      <c r="J121" s="90">
        <v>2.3610000000000002</v>
      </c>
      <c r="K121" s="90">
        <v>2.3610000000000002</v>
      </c>
      <c r="L121" s="90">
        <v>2.3610000000000002</v>
      </c>
      <c r="M121" s="90">
        <v>2.4</v>
      </c>
      <c r="O121" s="90"/>
    </row>
    <row r="122" spans="1:34" s="83" customFormat="1" ht="16.350000000000001" customHeight="1">
      <c r="B122" s="84" t="s">
        <v>134</v>
      </c>
      <c r="C122" s="85" t="s">
        <v>65</v>
      </c>
      <c r="D122" s="85"/>
      <c r="E122" s="90">
        <v>3.2709999999999999</v>
      </c>
      <c r="F122" s="90">
        <v>3.3330000000000002</v>
      </c>
      <c r="G122" s="90">
        <v>3.43</v>
      </c>
      <c r="H122" s="90">
        <v>3.4119999999999999</v>
      </c>
      <c r="I122" s="90">
        <v>3.528</v>
      </c>
      <c r="J122" s="90">
        <v>3.516</v>
      </c>
      <c r="K122" s="90">
        <v>3.456</v>
      </c>
      <c r="L122" s="90">
        <v>3.4489999999999998</v>
      </c>
      <c r="M122" s="90">
        <v>3.5</v>
      </c>
      <c r="O122" s="90"/>
    </row>
    <row r="123" spans="1:34" s="83" customFormat="1" ht="16.350000000000001" customHeight="1">
      <c r="B123" s="84" t="s">
        <v>135</v>
      </c>
      <c r="C123" s="85" t="s">
        <v>65</v>
      </c>
      <c r="D123" s="85"/>
      <c r="E123" s="90">
        <v>1.1040000000000001</v>
      </c>
      <c r="F123" s="90">
        <v>1.111</v>
      </c>
      <c r="G123" s="90">
        <v>1.0840000000000001</v>
      </c>
      <c r="H123" s="90">
        <v>1.111</v>
      </c>
      <c r="I123" s="90">
        <v>1.127</v>
      </c>
      <c r="J123" s="90">
        <v>1.109</v>
      </c>
      <c r="K123" s="90">
        <v>1.08</v>
      </c>
      <c r="L123" s="90">
        <v>1.117</v>
      </c>
      <c r="M123" s="90">
        <v>1.2</v>
      </c>
      <c r="O123" s="90"/>
    </row>
    <row r="124" spans="1:34" s="83" customFormat="1" ht="16.350000000000001" customHeight="1">
      <c r="B124" s="84" t="s">
        <v>136</v>
      </c>
      <c r="C124" s="85" t="s">
        <v>65</v>
      </c>
      <c r="D124" s="85"/>
      <c r="E124" s="90">
        <v>2.7730000000000001</v>
      </c>
      <c r="F124" s="90">
        <v>2.7730000000000001</v>
      </c>
      <c r="G124" s="90">
        <v>2.7730000000000001</v>
      </c>
      <c r="H124" s="90">
        <v>2.7730000000000001</v>
      </c>
      <c r="I124" s="90">
        <v>2.7730000000000001</v>
      </c>
      <c r="J124" s="90">
        <v>2.7730000000000001</v>
      </c>
      <c r="K124" s="90">
        <v>2.7730000000000001</v>
      </c>
      <c r="L124" s="90">
        <v>2.7730000000000001</v>
      </c>
      <c r="M124" s="90">
        <v>2.8</v>
      </c>
      <c r="O124" s="90"/>
    </row>
    <row r="125" spans="1:34" s="83" customFormat="1" ht="27" customHeight="1">
      <c r="B125" s="84" t="s">
        <v>137</v>
      </c>
      <c r="C125" s="85" t="s">
        <v>65</v>
      </c>
      <c r="D125" s="85"/>
      <c r="E125" s="90">
        <v>6.5069999999999997</v>
      </c>
      <c r="F125" s="90">
        <v>6.4240000000000004</v>
      </c>
      <c r="G125" s="90">
        <v>2.6440000000000001</v>
      </c>
      <c r="H125" s="90">
        <v>4.4039999999999999</v>
      </c>
      <c r="I125" s="90">
        <v>6.2009999999999996</v>
      </c>
      <c r="J125" s="90">
        <v>6.2910000000000004</v>
      </c>
      <c r="K125" s="90">
        <v>5.7370000000000001</v>
      </c>
      <c r="L125" s="90">
        <v>7.5490000000000004</v>
      </c>
      <c r="M125" s="90">
        <v>7.3</v>
      </c>
      <c r="O125" s="90"/>
    </row>
    <row r="126" spans="1:34" s="83" customFormat="1" ht="26.25" customHeight="1">
      <c r="B126" s="84" t="s">
        <v>138</v>
      </c>
      <c r="C126" s="85" t="s">
        <v>65</v>
      </c>
      <c r="D126" s="85"/>
      <c r="E126" s="90">
        <v>3.7280000000000002</v>
      </c>
      <c r="F126" s="90">
        <v>4.5380000000000003</v>
      </c>
      <c r="G126" s="90">
        <v>3.0630000000000002</v>
      </c>
      <c r="H126" s="90">
        <v>3.1589999999999998</v>
      </c>
      <c r="I126" s="90">
        <v>3.944</v>
      </c>
      <c r="J126" s="90">
        <v>4.4820000000000002</v>
      </c>
      <c r="K126" s="90">
        <v>5.0999999999999996</v>
      </c>
      <c r="L126" s="90">
        <v>5.3719999999999999</v>
      </c>
      <c r="M126" s="90">
        <v>5.8</v>
      </c>
      <c r="O126" s="90"/>
    </row>
    <row r="127" spans="1:34" s="83" customFormat="1" ht="16.350000000000001" customHeight="1">
      <c r="B127" s="84" t="s">
        <v>139</v>
      </c>
      <c r="C127" s="85" t="s">
        <v>65</v>
      </c>
      <c r="D127" s="85"/>
      <c r="E127" s="90">
        <v>22.497</v>
      </c>
      <c r="F127" s="90">
        <v>10.742000000000001</v>
      </c>
      <c r="G127" s="90">
        <v>23.09</v>
      </c>
      <c r="H127" s="90">
        <v>1.873</v>
      </c>
      <c r="I127" s="90">
        <v>1</v>
      </c>
      <c r="J127" s="90">
        <v>1.5629999999999999</v>
      </c>
      <c r="K127" s="90">
        <v>9.9879999999999995</v>
      </c>
      <c r="L127" s="90">
        <v>0.45800000000000002</v>
      </c>
      <c r="M127" s="90"/>
      <c r="O127" s="90"/>
    </row>
    <row r="128" spans="1:34" s="83" customFormat="1" ht="16.350000000000001" customHeight="1">
      <c r="B128" s="84" t="s">
        <v>140</v>
      </c>
      <c r="C128" s="85" t="s">
        <v>65</v>
      </c>
      <c r="D128" s="85"/>
      <c r="E128" s="90">
        <v>89.563000000000002</v>
      </c>
      <c r="F128" s="90">
        <v>90.325000000000003</v>
      </c>
      <c r="G128" s="90">
        <v>99.116</v>
      </c>
      <c r="H128" s="90">
        <v>17.792999999999999</v>
      </c>
      <c r="I128" s="90">
        <v>109.85899999999999</v>
      </c>
      <c r="J128" s="90">
        <v>113.255</v>
      </c>
      <c r="K128" s="90">
        <v>107.297</v>
      </c>
      <c r="L128" s="90">
        <v>106.90900000000001</v>
      </c>
      <c r="M128" s="90">
        <v>117.7</v>
      </c>
      <c r="O128" s="90"/>
    </row>
    <row r="129" spans="2:15" s="83" customFormat="1" ht="18" customHeight="1">
      <c r="B129" s="84" t="s">
        <v>141</v>
      </c>
      <c r="C129" s="85" t="s">
        <v>65</v>
      </c>
      <c r="D129" s="85"/>
      <c r="E129" s="90">
        <v>8.8829999999999991</v>
      </c>
      <c r="F129" s="90">
        <v>49.953000000000003</v>
      </c>
      <c r="G129" s="90">
        <v>103.06399999999999</v>
      </c>
      <c r="H129" s="90">
        <v>99.447999999999993</v>
      </c>
      <c r="I129" s="90">
        <v>97.903000000000006</v>
      </c>
      <c r="J129" s="90">
        <v>134.29</v>
      </c>
      <c r="K129" s="90">
        <v>181.33</v>
      </c>
      <c r="L129" s="90">
        <v>189.49700000000001</v>
      </c>
      <c r="M129" s="90">
        <v>186.7</v>
      </c>
      <c r="O129" s="90"/>
    </row>
    <row r="130" spans="2:15" s="83" customFormat="1" ht="16.350000000000001" customHeight="1">
      <c r="B130" s="84" t="s">
        <v>142</v>
      </c>
      <c r="C130" s="85" t="s">
        <v>65</v>
      </c>
      <c r="D130" s="85"/>
      <c r="E130" s="90">
        <v>221.88200000000001</v>
      </c>
      <c r="F130" s="90">
        <v>218.703</v>
      </c>
      <c r="G130" s="90">
        <v>220.351</v>
      </c>
      <c r="H130" s="90">
        <v>224.697</v>
      </c>
      <c r="I130" s="90">
        <v>221.27799999999999</v>
      </c>
      <c r="J130" s="90">
        <v>228.017</v>
      </c>
      <c r="K130" s="90">
        <v>233.184</v>
      </c>
      <c r="L130" s="90">
        <v>227.21700000000001</v>
      </c>
      <c r="M130" s="90">
        <v>234.4</v>
      </c>
      <c r="O130" s="90"/>
    </row>
    <row r="131" spans="2:15" s="83" customFormat="1" ht="16.350000000000001" customHeight="1">
      <c r="B131" s="84" t="s">
        <v>143</v>
      </c>
      <c r="C131" s="85" t="s">
        <v>65</v>
      </c>
      <c r="D131" s="85"/>
      <c r="E131" s="90">
        <v>88.414000000000001</v>
      </c>
      <c r="F131" s="90">
        <v>83.727000000000004</v>
      </c>
      <c r="G131" s="90">
        <v>84.528000000000006</v>
      </c>
      <c r="H131" s="90">
        <v>83.269000000000005</v>
      </c>
      <c r="I131" s="90">
        <v>90</v>
      </c>
      <c r="J131" s="90">
        <v>87.2</v>
      </c>
      <c r="K131" s="90">
        <v>84.629000000000005</v>
      </c>
      <c r="L131" s="90">
        <v>71.415999999999997</v>
      </c>
      <c r="M131" s="90">
        <v>101.3</v>
      </c>
      <c r="O131" s="90"/>
    </row>
    <row r="132" spans="2:15" s="83" customFormat="1" ht="15.75" customHeight="1">
      <c r="B132" s="84" t="s">
        <v>144</v>
      </c>
      <c r="C132" s="85" t="s">
        <v>65</v>
      </c>
      <c r="D132" s="85"/>
      <c r="E132" s="90">
        <v>259.01299999999998</v>
      </c>
      <c r="F132" s="90">
        <v>267.48700000000002</v>
      </c>
      <c r="G132" s="90">
        <v>263.34500000000003</v>
      </c>
      <c r="H132" s="90">
        <v>291.88</v>
      </c>
      <c r="I132" s="90">
        <v>303.23599999999999</v>
      </c>
      <c r="J132" s="90">
        <v>311.65699999999998</v>
      </c>
      <c r="K132" s="90">
        <v>298.15899999999999</v>
      </c>
      <c r="L132" s="90">
        <v>323.13799999999998</v>
      </c>
      <c r="M132" s="90">
        <v>339</v>
      </c>
      <c r="O132" s="90"/>
    </row>
    <row r="133" spans="2:15" s="83" customFormat="1" ht="16.350000000000001" customHeight="1">
      <c r="B133" s="84" t="s">
        <v>145</v>
      </c>
      <c r="C133" s="85" t="s">
        <v>65</v>
      </c>
      <c r="D133" s="85"/>
      <c r="E133" s="90">
        <v>1526.163</v>
      </c>
      <c r="F133" s="90">
        <v>1496.49</v>
      </c>
      <c r="G133" s="90">
        <v>1504.904</v>
      </c>
      <c r="H133" s="90">
        <v>1590.598</v>
      </c>
      <c r="I133" s="90">
        <v>1667.768</v>
      </c>
      <c r="J133" s="90">
        <v>1626.4459999999999</v>
      </c>
      <c r="K133" s="90">
        <v>1594.729</v>
      </c>
      <c r="L133" s="90">
        <v>1739.433</v>
      </c>
      <c r="M133" s="90">
        <v>1751.2</v>
      </c>
      <c r="O133" s="90"/>
    </row>
    <row r="134" spans="2:15" s="83" customFormat="1" ht="16.350000000000001" customHeight="1">
      <c r="B134" s="84" t="s">
        <v>146</v>
      </c>
      <c r="C134" s="85" t="s">
        <v>65</v>
      </c>
      <c r="D134" s="85"/>
      <c r="E134" s="90">
        <v>1.98</v>
      </c>
      <c r="F134" s="90">
        <v>1.7649999999999999</v>
      </c>
      <c r="G134" s="90">
        <v>1.65</v>
      </c>
      <c r="H134" s="90">
        <v>1.6379999999999999</v>
      </c>
      <c r="I134" s="90">
        <v>4.109</v>
      </c>
      <c r="J134" s="90">
        <v>4.5819999999999999</v>
      </c>
      <c r="K134" s="90">
        <v>5.18</v>
      </c>
      <c r="L134" s="90">
        <v>4.2519999999999998</v>
      </c>
      <c r="M134" s="90">
        <v>5</v>
      </c>
      <c r="O134" s="90"/>
    </row>
    <row r="135" spans="2:15">
      <c r="C135" s="39"/>
      <c r="D135" s="39"/>
    </row>
    <row r="136" spans="2:15">
      <c r="C136" s="39"/>
      <c r="D136" s="39"/>
    </row>
    <row r="137" spans="2:15">
      <c r="C137" s="39"/>
      <c r="D137" s="39"/>
    </row>
    <row r="138" spans="2:15" ht="13.15">
      <c r="C138" s="37"/>
      <c r="D138" s="37"/>
    </row>
    <row r="139" spans="2:15">
      <c r="C139" s="39"/>
      <c r="D139" s="39"/>
    </row>
    <row r="140" spans="2:15">
      <c r="C140" s="39"/>
      <c r="D140" s="39"/>
    </row>
    <row r="141" spans="2:15">
      <c r="C141" s="39"/>
      <c r="D141" s="39"/>
    </row>
    <row r="142" spans="2:15">
      <c r="C142" s="39"/>
      <c r="D142" s="39"/>
    </row>
    <row r="143" spans="2:15">
      <c r="C143" s="39"/>
      <c r="D143" s="39"/>
    </row>
    <row r="144" spans="2:15">
      <c r="C144" s="39"/>
      <c r="D144" s="39"/>
    </row>
    <row r="145" spans="3:4">
      <c r="C145" s="18"/>
      <c r="D145" s="18"/>
    </row>
    <row r="146" spans="3:4" ht="13.15">
      <c r="C146" s="37"/>
      <c r="D146" s="37"/>
    </row>
    <row r="147" spans="3:4">
      <c r="C147" s="39"/>
      <c r="D147" s="39"/>
    </row>
    <row r="148" spans="3:4">
      <c r="C148" s="39"/>
      <c r="D148" s="39"/>
    </row>
    <row r="149" spans="3:4">
      <c r="C149" s="39"/>
      <c r="D149" s="39"/>
    </row>
    <row r="150" spans="3:4">
      <c r="C150" s="39"/>
      <c r="D150" s="39"/>
    </row>
    <row r="151" spans="3:4">
      <c r="C151" s="39"/>
      <c r="D151" s="39"/>
    </row>
    <row r="152" spans="3:4">
      <c r="C152" s="39"/>
      <c r="D152" s="39"/>
    </row>
    <row r="153" spans="3:4">
      <c r="C153" s="39"/>
      <c r="D153" s="39"/>
    </row>
    <row r="154" spans="3:4">
      <c r="C154" s="39"/>
      <c r="D154" s="39"/>
    </row>
    <row r="155" spans="3:4">
      <c r="C155" s="39"/>
      <c r="D155" s="39"/>
    </row>
    <row r="156" spans="3:4" ht="13.15">
      <c r="C156" s="42"/>
      <c r="D156" s="42"/>
    </row>
    <row r="157" spans="3:4">
      <c r="C157" s="18"/>
      <c r="D157" s="18"/>
    </row>
    <row r="158" spans="3:4" ht="13.15">
      <c r="C158" s="37"/>
      <c r="D158" s="37"/>
    </row>
    <row r="159" spans="3:4">
      <c r="C159" s="39"/>
      <c r="D159" s="39"/>
    </row>
    <row r="160" spans="3:4">
      <c r="C160" s="39"/>
      <c r="D160" s="39"/>
    </row>
    <row r="161" spans="3:4">
      <c r="C161" s="39"/>
      <c r="D161" s="39"/>
    </row>
    <row r="162" spans="3:4">
      <c r="C162" s="39"/>
      <c r="D162" s="39"/>
    </row>
    <row r="163" spans="3:4">
      <c r="C163" s="39"/>
      <c r="D163" s="39"/>
    </row>
    <row r="164" spans="3:4">
      <c r="C164" s="39"/>
      <c r="D164" s="39"/>
    </row>
    <row r="165" spans="3:4">
      <c r="C165" s="39"/>
      <c r="D165" s="39"/>
    </row>
    <row r="166" spans="3:4">
      <c r="C166" s="39"/>
      <c r="D166" s="39"/>
    </row>
    <row r="167" spans="3:4">
      <c r="C167" s="39"/>
      <c r="D167" s="39"/>
    </row>
    <row r="168" spans="3:4" ht="13.15">
      <c r="C168" s="42"/>
      <c r="D168" s="4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P121"/>
  <sheetViews>
    <sheetView zoomScaleNormal="100" workbookViewId="0">
      <selection activeCell="I4" sqref="I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59765625" style="7" customWidth="1"/>
    <col min="6" max="9" width="16.3984375" style="55" customWidth="1"/>
    <col min="10" max="14" width="8" style="7"/>
    <col min="15" max="15" width="10.73046875" style="7" bestFit="1" customWidth="1"/>
    <col min="16" max="16384" width="8" style="7"/>
  </cols>
  <sheetData>
    <row r="1" spans="1:9" s="6" customFormat="1" ht="15.4" thickBot="1">
      <c r="A1" s="3" t="s">
        <v>6</v>
      </c>
      <c r="B1" s="4"/>
      <c r="C1" s="5" t="s">
        <v>20</v>
      </c>
      <c r="D1" s="5" t="s">
        <v>21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</row>
    <row r="2" spans="1:9" ht="14.25">
      <c r="B2" s="8" t="s">
        <v>98</v>
      </c>
      <c r="C2" s="9" t="s">
        <v>65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</row>
    <row r="3" spans="1:9" ht="14.25">
      <c r="B3" s="11" t="s">
        <v>99</v>
      </c>
      <c r="C3" s="9" t="s">
        <v>65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</row>
    <row r="4" spans="1:9" ht="14.25">
      <c r="B4" s="45" t="s">
        <v>12</v>
      </c>
      <c r="C4" s="9" t="s">
        <v>65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</row>
    <row r="5" spans="1:9" ht="14.25">
      <c r="B5" s="11" t="s">
        <v>7</v>
      </c>
      <c r="C5" s="9" t="s">
        <v>65</v>
      </c>
      <c r="D5" s="9"/>
      <c r="E5" s="33"/>
      <c r="F5" s="62"/>
      <c r="G5" s="62"/>
      <c r="H5" s="62"/>
      <c r="I5" s="62"/>
    </row>
    <row r="6" spans="1:9" ht="14.25">
      <c r="B6" s="11" t="s">
        <v>99</v>
      </c>
      <c r="C6" s="9" t="s">
        <v>65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</row>
    <row r="7" spans="1:9" ht="14.25">
      <c r="B7" s="11" t="s">
        <v>10</v>
      </c>
      <c r="C7" s="9" t="s">
        <v>65</v>
      </c>
      <c r="D7" s="9"/>
      <c r="E7" s="33"/>
      <c r="F7" s="62"/>
      <c r="G7" s="62"/>
      <c r="H7" s="62"/>
      <c r="I7" s="62"/>
    </row>
    <row r="8" spans="1:9" ht="14.25">
      <c r="B8" s="45" t="s">
        <v>13</v>
      </c>
      <c r="C8" s="9" t="s">
        <v>65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</row>
    <row r="9" spans="1:9" ht="14.25">
      <c r="B9" s="11" t="s">
        <v>8</v>
      </c>
      <c r="C9" s="9" t="s">
        <v>65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</row>
    <row r="10" spans="1:9" ht="14.25">
      <c r="B10" s="45" t="s">
        <v>15</v>
      </c>
      <c r="C10" s="9" t="s">
        <v>65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</row>
    <row r="11" spans="1:9" ht="14.25">
      <c r="B11" s="45" t="s">
        <v>102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</row>
    <row r="12" spans="1:9" ht="14.25">
      <c r="B12" s="11" t="s">
        <v>9</v>
      </c>
      <c r="C12" s="9" t="s">
        <v>65</v>
      </c>
      <c r="D12" s="9"/>
      <c r="E12" s="33"/>
      <c r="F12" s="62"/>
      <c r="G12" s="62"/>
      <c r="H12" s="62"/>
      <c r="I12" s="62"/>
    </row>
    <row r="13" spans="1:9" ht="14.25">
      <c r="B13" s="11" t="s">
        <v>11</v>
      </c>
      <c r="C13" s="9" t="s">
        <v>65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</row>
    <row r="14" spans="1:9" ht="14.25">
      <c r="B14" s="47" t="s">
        <v>14</v>
      </c>
      <c r="C14" s="9" t="s">
        <v>65</v>
      </c>
      <c r="D14" s="9"/>
      <c r="E14" s="34"/>
      <c r="F14" s="63">
        <f>SUM(F10:F13)</f>
        <v>-1110.808</v>
      </c>
      <c r="G14" s="63">
        <f t="shared" ref="G14:I14" si="3">SUM(G10:G13)</f>
        <v>-676.92800000000011</v>
      </c>
      <c r="H14" s="63">
        <f t="shared" si="3"/>
        <v>-15.796999999999908</v>
      </c>
      <c r="I14" s="63">
        <f t="shared" si="3"/>
        <v>474.08300000000037</v>
      </c>
    </row>
    <row r="15" spans="1:9">
      <c r="B15" s="18"/>
      <c r="C15" s="9"/>
      <c r="D15" s="9"/>
    </row>
    <row r="16" spans="1:9" s="6" customFormat="1" ht="15.4" thickBot="1">
      <c r="A16" s="3" t="s">
        <v>28</v>
      </c>
      <c r="B16" s="4"/>
      <c r="C16" s="5" t="s">
        <v>20</v>
      </c>
      <c r="D16" s="5" t="s">
        <v>21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</row>
    <row r="17" spans="1:15">
      <c r="B17" s="123" t="s">
        <v>23</v>
      </c>
      <c r="C17" s="9" t="s">
        <v>65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21">
        <v>3667</v>
      </c>
    </row>
    <row r="18" spans="1:15">
      <c r="B18" s="109" t="s">
        <v>24</v>
      </c>
      <c r="C18" s="9" t="s">
        <v>65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21">
        <v>7.3</v>
      </c>
    </row>
    <row r="19" spans="1:15" ht="13.15">
      <c r="B19" s="109" t="s">
        <v>27</v>
      </c>
      <c r="C19" s="9" t="s">
        <v>65</v>
      </c>
      <c r="D19" s="46"/>
      <c r="E19" s="33"/>
      <c r="F19" s="60">
        <v>269.017</v>
      </c>
      <c r="G19" s="60">
        <v>259</v>
      </c>
      <c r="H19" s="60">
        <v>374.41699999999997</v>
      </c>
      <c r="I19" s="121">
        <v>261</v>
      </c>
    </row>
    <row r="20" spans="1:15">
      <c r="B20" s="109" t="s">
        <v>26</v>
      </c>
      <c r="C20" s="9" t="s">
        <v>65</v>
      </c>
      <c r="D20" s="9"/>
      <c r="E20" s="33"/>
      <c r="F20" s="60"/>
      <c r="G20" s="60"/>
      <c r="H20" s="60"/>
      <c r="I20" s="121"/>
    </row>
    <row r="21" spans="1:15">
      <c r="B21" s="124" t="s">
        <v>33</v>
      </c>
      <c r="C21" s="9" t="s">
        <v>65</v>
      </c>
      <c r="D21" s="17"/>
      <c r="E21" s="33"/>
      <c r="F21" s="60">
        <f>SUM(F17:F20)</f>
        <v>3267.5139999999997</v>
      </c>
      <c r="G21" s="60">
        <f t="shared" ref="G21:I21" si="4">SUM(G17:G20)</f>
        <v>3394.395</v>
      </c>
      <c r="H21" s="60">
        <f t="shared" si="4"/>
        <v>3594.22</v>
      </c>
      <c r="I21" s="121">
        <f t="shared" si="4"/>
        <v>3935.3</v>
      </c>
    </row>
    <row r="22" spans="1:15" ht="13.15">
      <c r="B22" s="109" t="s">
        <v>29</v>
      </c>
      <c r="C22" s="9" t="s">
        <v>65</v>
      </c>
      <c r="D22" s="46"/>
      <c r="E22" s="33"/>
      <c r="F22" s="60"/>
      <c r="G22" s="60"/>
      <c r="H22" s="60"/>
      <c r="I22" s="121"/>
      <c r="O22" s="48"/>
    </row>
    <row r="23" spans="1:15">
      <c r="B23" s="109" t="s">
        <v>25</v>
      </c>
      <c r="C23" s="9" t="s">
        <v>65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21">
        <v>675</v>
      </c>
    </row>
    <row r="24" spans="1:15">
      <c r="B24" s="109" t="s">
        <v>2</v>
      </c>
      <c r="C24" s="9" t="s">
        <v>65</v>
      </c>
      <c r="D24" s="9"/>
      <c r="E24" s="33"/>
      <c r="F24" s="60"/>
      <c r="G24" s="60"/>
      <c r="H24" s="60"/>
      <c r="I24" s="121"/>
    </row>
    <row r="25" spans="1:15">
      <c r="B25" s="11" t="s">
        <v>30</v>
      </c>
      <c r="C25" s="9" t="s">
        <v>65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21">
        <v>310</v>
      </c>
    </row>
    <row r="26" spans="1:15">
      <c r="B26" s="11" t="s">
        <v>31</v>
      </c>
      <c r="C26" s="9" t="s">
        <v>65</v>
      </c>
      <c r="D26" s="9"/>
      <c r="E26" s="33"/>
      <c r="F26" s="60"/>
      <c r="G26" s="60"/>
      <c r="H26" s="60"/>
      <c r="I26" s="121"/>
    </row>
    <row r="27" spans="1:15">
      <c r="B27" s="11" t="s">
        <v>32</v>
      </c>
      <c r="C27" s="9" t="s">
        <v>65</v>
      </c>
      <c r="D27" s="9"/>
      <c r="E27" s="33"/>
      <c r="F27" s="60">
        <v>1.339</v>
      </c>
      <c r="G27" s="60">
        <v>17.242999999999999</v>
      </c>
      <c r="H27" s="60">
        <v>14.15</v>
      </c>
      <c r="I27" s="121">
        <v>13</v>
      </c>
    </row>
    <row r="28" spans="1:15">
      <c r="B28" s="45" t="s">
        <v>34</v>
      </c>
      <c r="C28" s="9" t="s">
        <v>65</v>
      </c>
      <c r="D28" s="9"/>
      <c r="E28" s="33"/>
      <c r="F28" s="60">
        <f>SUM(F22:F27)</f>
        <v>782.80600000000004</v>
      </c>
      <c r="G28" s="60">
        <f t="shared" ref="G28:I28" si="5">SUM(G22:G27)</f>
        <v>982.61900000000003</v>
      </c>
      <c r="H28" s="60">
        <f t="shared" si="5"/>
        <v>844.88499999999999</v>
      </c>
      <c r="I28" s="121">
        <f t="shared" si="5"/>
        <v>998</v>
      </c>
    </row>
    <row r="29" spans="1:15" ht="13.15">
      <c r="B29" s="14" t="s">
        <v>35</v>
      </c>
      <c r="C29" s="9" t="s">
        <v>65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6">H21+H28</f>
        <v>4439.1049999999996</v>
      </c>
      <c r="I29" s="122">
        <f t="shared" si="6"/>
        <v>4933.3</v>
      </c>
    </row>
    <row r="30" spans="1:15" ht="13.15">
      <c r="B30" s="35"/>
      <c r="C30" s="9"/>
      <c r="D30" s="9"/>
      <c r="E30" s="34"/>
      <c r="F30" s="56"/>
      <c r="G30" s="56"/>
      <c r="H30" s="56"/>
    </row>
    <row r="31" spans="1:15" s="6" customFormat="1" ht="15.4" thickBot="1">
      <c r="A31" s="3" t="s">
        <v>62</v>
      </c>
      <c r="B31" s="4"/>
      <c r="C31" s="5" t="s">
        <v>20</v>
      </c>
      <c r="D31" s="5" t="s">
        <v>21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</row>
    <row r="32" spans="1:15">
      <c r="B32" s="8" t="s">
        <v>103</v>
      </c>
      <c r="C32" s="9" t="s">
        <v>65</v>
      </c>
      <c r="D32" s="9"/>
      <c r="E32" s="33"/>
      <c r="F32" s="60"/>
      <c r="G32" s="60">
        <v>136.46</v>
      </c>
      <c r="H32" s="60">
        <v>215.286</v>
      </c>
      <c r="I32" s="60">
        <v>219.83</v>
      </c>
    </row>
    <row r="33" spans="1:15">
      <c r="B33" s="11" t="s">
        <v>104</v>
      </c>
      <c r="C33" s="9" t="s">
        <v>65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</row>
    <row r="34" spans="1:15">
      <c r="B34" s="8" t="s">
        <v>105</v>
      </c>
      <c r="C34" s="9" t="s">
        <v>65</v>
      </c>
      <c r="D34" s="17"/>
      <c r="E34" s="33"/>
      <c r="F34" s="60">
        <v>-1.212</v>
      </c>
      <c r="G34" s="60"/>
      <c r="H34" s="60">
        <v>31.942</v>
      </c>
      <c r="I34" s="60">
        <v>9.43</v>
      </c>
    </row>
    <row r="35" spans="1:15" ht="25.5">
      <c r="B35" s="8" t="s">
        <v>106</v>
      </c>
      <c r="C35" s="9" t="s">
        <v>65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</row>
    <row r="36" spans="1:15" ht="13.15">
      <c r="B36" s="11" t="s">
        <v>107</v>
      </c>
      <c r="C36" s="9" t="s">
        <v>65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</row>
    <row r="37" spans="1:15" ht="13.15">
      <c r="B37" s="11" t="s">
        <v>64</v>
      </c>
      <c r="C37" s="9" t="s">
        <v>65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</row>
    <row r="38" spans="1:15" ht="13.15">
      <c r="B38" s="14" t="s">
        <v>108</v>
      </c>
      <c r="C38" s="9" t="s">
        <v>65</v>
      </c>
      <c r="D38" s="9"/>
      <c r="E38" s="34"/>
      <c r="F38" s="61">
        <f>SUM(F32:F37)</f>
        <v>144.37799999999999</v>
      </c>
      <c r="G38" s="61">
        <f t="shared" ref="G38:I38" si="7">SUM(G32:G37)</f>
        <v>471.85700000000003</v>
      </c>
      <c r="H38" s="61">
        <f t="shared" si="7"/>
        <v>159.49999999999997</v>
      </c>
      <c r="I38" s="61">
        <f t="shared" si="7"/>
        <v>641.94600000000003</v>
      </c>
    </row>
    <row r="39" spans="1:15" ht="13.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5.4" thickBot="1">
      <c r="A40" s="3" t="s">
        <v>43</v>
      </c>
      <c r="B40" s="4"/>
      <c r="C40" s="5" t="s">
        <v>20</v>
      </c>
      <c r="D40" s="5" t="s">
        <v>21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</row>
    <row r="41" spans="1:15">
      <c r="B41" s="8" t="s">
        <v>44</v>
      </c>
      <c r="C41" s="9" t="s">
        <v>65</v>
      </c>
      <c r="D41" s="9"/>
      <c r="E41" s="33"/>
      <c r="F41" s="60">
        <v>0.4</v>
      </c>
      <c r="G41" s="60">
        <v>135.947</v>
      </c>
      <c r="H41" s="60">
        <v>262.91899999999998</v>
      </c>
      <c r="I41" s="121">
        <v>213</v>
      </c>
    </row>
    <row r="42" spans="1:15">
      <c r="B42" s="11" t="s">
        <v>45</v>
      </c>
      <c r="C42" s="9" t="s">
        <v>65</v>
      </c>
      <c r="D42" s="9"/>
      <c r="E42" s="33"/>
      <c r="F42" s="60"/>
      <c r="G42" s="60"/>
      <c r="H42" s="60"/>
      <c r="I42" s="121"/>
    </row>
    <row r="43" spans="1:15">
      <c r="B43" s="11" t="s">
        <v>46</v>
      </c>
      <c r="C43" s="9" t="s">
        <v>65</v>
      </c>
      <c r="D43" s="9"/>
      <c r="E43" s="33"/>
      <c r="F43" s="60"/>
      <c r="G43" s="60">
        <v>150.51</v>
      </c>
      <c r="H43" s="60">
        <v>188.09299999999999</v>
      </c>
      <c r="I43" s="121"/>
    </row>
    <row r="44" spans="1:15">
      <c r="B44" s="45" t="s">
        <v>47</v>
      </c>
      <c r="C44" s="9" t="s">
        <v>65</v>
      </c>
      <c r="D44" s="9"/>
      <c r="E44" s="33"/>
      <c r="F44" s="60"/>
      <c r="G44" s="60"/>
      <c r="H44" s="60"/>
      <c r="I44" s="121"/>
    </row>
    <row r="45" spans="1:15">
      <c r="B45" s="11" t="s">
        <v>48</v>
      </c>
      <c r="C45" s="9" t="s">
        <v>65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21"/>
    </row>
    <row r="46" spans="1:15">
      <c r="B46" s="11" t="s">
        <v>49</v>
      </c>
      <c r="C46" s="9" t="s">
        <v>65</v>
      </c>
      <c r="D46" s="17"/>
      <c r="E46" s="33"/>
      <c r="F46" s="60">
        <v>543.71900000000005</v>
      </c>
      <c r="G46" s="60">
        <v>1227.779</v>
      </c>
      <c r="H46" s="60">
        <v>1331.78</v>
      </c>
      <c r="I46" s="121">
        <v>1503</v>
      </c>
      <c r="O46" s="48"/>
    </row>
    <row r="47" spans="1:15" ht="13.15">
      <c r="B47" s="11" t="s">
        <v>50</v>
      </c>
      <c r="C47" s="9" t="s">
        <v>65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21">
        <v>43</v>
      </c>
    </row>
    <row r="48" spans="1:15">
      <c r="B48" s="11" t="s">
        <v>52</v>
      </c>
      <c r="C48" s="9" t="s">
        <v>65</v>
      </c>
      <c r="D48" s="9"/>
      <c r="E48" s="33"/>
      <c r="F48" s="60"/>
      <c r="G48" s="60"/>
      <c r="H48" s="60"/>
      <c r="I48" s="121"/>
    </row>
    <row r="49" spans="1:9">
      <c r="B49" s="11" t="s">
        <v>51</v>
      </c>
      <c r="C49" s="9" t="s">
        <v>65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21">
        <v>231.7</v>
      </c>
    </row>
    <row r="50" spans="1:9">
      <c r="B50" s="11" t="s">
        <v>53</v>
      </c>
      <c r="C50" s="9" t="s">
        <v>65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21">
        <v>52.4</v>
      </c>
    </row>
    <row r="51" spans="1:9">
      <c r="B51" s="45" t="s">
        <v>54</v>
      </c>
      <c r="C51" s="9" t="s">
        <v>65</v>
      </c>
      <c r="D51" s="9"/>
      <c r="E51" s="33"/>
      <c r="F51" s="60"/>
      <c r="G51" s="60"/>
      <c r="H51" s="60"/>
      <c r="I51" s="121"/>
    </row>
    <row r="52" spans="1:9" ht="13.15">
      <c r="B52" s="14" t="s">
        <v>70</v>
      </c>
      <c r="C52" s="9" t="s">
        <v>65</v>
      </c>
      <c r="D52" s="9"/>
      <c r="E52" s="34"/>
      <c r="F52" s="61">
        <f t="shared" ref="F52:G52" si="8">SUM(F41:F51)</f>
        <v>985.33100000000013</v>
      </c>
      <c r="G52" s="61">
        <f t="shared" si="8"/>
        <v>1994.9670000000003</v>
      </c>
      <c r="H52" s="61">
        <f>SUM(H41:H51)</f>
        <v>2072.808</v>
      </c>
      <c r="I52" s="122">
        <f>SUM(I41:I51)</f>
        <v>2043.1000000000001</v>
      </c>
    </row>
    <row r="53" spans="1:9" ht="13.15">
      <c r="B53" s="35"/>
      <c r="C53" s="9"/>
      <c r="D53" s="9"/>
      <c r="E53" s="34"/>
      <c r="F53" s="56"/>
      <c r="G53" s="56"/>
      <c r="H53" s="56"/>
    </row>
    <row r="54" spans="1:9" s="6" customFormat="1" ht="15.4" thickBot="1">
      <c r="A54" s="3" t="s">
        <v>63</v>
      </c>
      <c r="B54" s="5"/>
      <c r="C54" s="5" t="s">
        <v>20</v>
      </c>
      <c r="D54" s="5" t="s">
        <v>21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</row>
    <row r="55" spans="1:9">
      <c r="B55" s="111" t="s">
        <v>123</v>
      </c>
      <c r="C55" s="112" t="s">
        <v>65</v>
      </c>
      <c r="D55" s="112"/>
      <c r="E55" s="101"/>
      <c r="F55" s="121">
        <v>-248.46</v>
      </c>
      <c r="G55" s="121">
        <v>465.14600000000002</v>
      </c>
      <c r="H55" s="121">
        <v>308.96199999999999</v>
      </c>
      <c r="I55" s="121">
        <v>117</v>
      </c>
    </row>
    <row r="56" spans="1:9">
      <c r="B56" s="109" t="s">
        <v>149</v>
      </c>
      <c r="C56" s="112" t="s">
        <v>65</v>
      </c>
      <c r="D56" s="112"/>
      <c r="E56" s="101"/>
      <c r="F56" s="121">
        <v>442.4</v>
      </c>
      <c r="G56" s="121">
        <v>567.82600000000002</v>
      </c>
      <c r="H56" s="121">
        <v>856.44100000000003</v>
      </c>
      <c r="I56" s="121">
        <v>1171.2470000000001</v>
      </c>
    </row>
    <row r="57" spans="1:9">
      <c r="B57" s="111" t="s">
        <v>124</v>
      </c>
      <c r="C57" s="112" t="s">
        <v>65</v>
      </c>
      <c r="D57" s="113"/>
      <c r="E57" s="101"/>
      <c r="F57" s="121"/>
      <c r="G57" s="121">
        <v>53.954000000000001</v>
      </c>
      <c r="H57" s="121">
        <v>19.954000000000001</v>
      </c>
      <c r="I57" s="121">
        <v>5.9539999999999997</v>
      </c>
    </row>
    <row r="58" spans="1:9" ht="13.15">
      <c r="B58" s="111" t="s">
        <v>125</v>
      </c>
      <c r="C58" s="112" t="s">
        <v>65</v>
      </c>
      <c r="D58" s="114"/>
      <c r="E58" s="101"/>
      <c r="F58" s="121"/>
      <c r="G58" s="121">
        <v>18.82</v>
      </c>
      <c r="H58" s="121">
        <v>12.752000000000001</v>
      </c>
      <c r="I58" s="121">
        <v>4.452</v>
      </c>
    </row>
    <row r="59" spans="1:9" ht="13.15">
      <c r="B59" s="111" t="s">
        <v>126</v>
      </c>
      <c r="C59" s="112" t="s">
        <v>65</v>
      </c>
      <c r="D59" s="114"/>
      <c r="E59" s="101"/>
      <c r="F59" s="121">
        <v>221.14</v>
      </c>
      <c r="G59" s="121">
        <v>63.243000000000002</v>
      </c>
      <c r="H59" s="121">
        <v>74.200999999999993</v>
      </c>
      <c r="I59" s="121">
        <v>232</v>
      </c>
    </row>
    <row r="60" spans="1:9" ht="13.15">
      <c r="B60" s="109" t="s">
        <v>64</v>
      </c>
      <c r="C60" s="112" t="s">
        <v>65</v>
      </c>
      <c r="D60" s="114"/>
      <c r="E60" s="101"/>
      <c r="F60" s="121">
        <v>32.476999999999997</v>
      </c>
      <c r="G60" s="121">
        <v>112.23699999999999</v>
      </c>
      <c r="H60" s="121">
        <v>134.643</v>
      </c>
      <c r="I60" s="121">
        <v>139.501</v>
      </c>
    </row>
    <row r="61" spans="1:9" ht="13.15">
      <c r="B61" s="115" t="s">
        <v>3</v>
      </c>
      <c r="C61" s="112" t="s">
        <v>65</v>
      </c>
      <c r="D61" s="112"/>
      <c r="E61" s="103"/>
      <c r="F61" s="122">
        <f>SUM(F55:F60)</f>
        <v>447.5569999999999</v>
      </c>
      <c r="G61" s="122">
        <f t="shared" ref="G61" si="9">SUM(G55:G60)</f>
        <v>1281.2259999999999</v>
      </c>
      <c r="H61" s="122">
        <f>SUM(H55:H60)</f>
        <v>1406.953</v>
      </c>
      <c r="I61" s="122">
        <f>SUM(I55:I60)</f>
        <v>1670.154</v>
      </c>
    </row>
    <row r="62" spans="1:9">
      <c r="C62" s="9"/>
      <c r="D62" s="9"/>
    </row>
    <row r="63" spans="1:9" s="6" customFormat="1" ht="15.4" thickBot="1">
      <c r="A63" s="3" t="s">
        <v>36</v>
      </c>
      <c r="B63" s="5"/>
      <c r="C63" s="5" t="s">
        <v>20</v>
      </c>
      <c r="D63" s="5" t="s">
        <v>21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</row>
    <row r="64" spans="1:9" ht="14.25">
      <c r="B64" s="111" t="s">
        <v>37</v>
      </c>
      <c r="C64" s="112" t="s">
        <v>65</v>
      </c>
      <c r="D64" s="112"/>
      <c r="E64" s="125"/>
      <c r="F64" s="126">
        <v>2708.9639999999999</v>
      </c>
      <c r="G64" s="126">
        <v>2940.1669999999999</v>
      </c>
      <c r="H64" s="126">
        <f>' STB_FS_полугодовой'!G51+' STB_FS_полугодовой'!H51</f>
        <v>3852.5</v>
      </c>
      <c r="I64" s="126">
        <f>' STB_FS_полугодовой'!I51+' STB_FS_полугодовой'!J51</f>
        <v>4545.3</v>
      </c>
    </row>
    <row r="65" spans="2:12" ht="14.25">
      <c r="B65" s="109" t="s">
        <v>38</v>
      </c>
      <c r="C65" s="112" t="s">
        <v>65</v>
      </c>
      <c r="D65" s="112"/>
      <c r="E65" s="125"/>
      <c r="F65" s="126"/>
      <c r="G65" s="126"/>
      <c r="H65" s="126">
        <f>' STB_FS_полугодовой'!G52+' STB_FS_полугодовой'!H52</f>
        <v>0.4</v>
      </c>
      <c r="I65" s="126">
        <f>' STB_FS_полугодовой'!I52+' STB_FS_полугодовой'!J52</f>
        <v>0</v>
      </c>
    </row>
    <row r="66" spans="2:12" ht="14.25">
      <c r="B66" s="109" t="s">
        <v>39</v>
      </c>
      <c r="C66" s="112" t="s">
        <v>65</v>
      </c>
      <c r="D66" s="112"/>
      <c r="E66" s="125"/>
      <c r="F66" s="126">
        <v>-194.25200000000001</v>
      </c>
      <c r="G66" s="126">
        <v>-329.55399999999997</v>
      </c>
      <c r="H66" s="126">
        <f>' STB_FS_полугодовой'!G53+' STB_FS_полугодовой'!H53</f>
        <v>-184.01400000000001</v>
      </c>
      <c r="I66" s="126">
        <f>' STB_FS_полугодовой'!I53+' STB_FS_полугодовой'!J53</f>
        <v>-282.70099999999996</v>
      </c>
    </row>
    <row r="67" spans="2:12" ht="14.25">
      <c r="B67" s="109" t="s">
        <v>40</v>
      </c>
      <c r="C67" s="112" t="s">
        <v>65</v>
      </c>
      <c r="D67" s="114"/>
      <c r="E67" s="125"/>
      <c r="F67" s="126">
        <v>-2195.9569999999999</v>
      </c>
      <c r="G67" s="126">
        <v>-1902.048</v>
      </c>
      <c r="H67" s="126">
        <f>' STB_FS_полугодовой'!G54+' STB_FS_полугодовой'!H54</f>
        <v>-2966.5</v>
      </c>
      <c r="I67" s="126">
        <f>' STB_FS_полугодовой'!I54+' STB_FS_полугодовой'!J54</f>
        <v>-3372.8</v>
      </c>
    </row>
    <row r="68" spans="2:12" ht="14.25">
      <c r="B68" s="109" t="s">
        <v>41</v>
      </c>
      <c r="C68" s="112" t="s">
        <v>65</v>
      </c>
      <c r="D68" s="112"/>
      <c r="E68" s="125"/>
      <c r="F68" s="126">
        <v>-212.298</v>
      </c>
      <c r="G68" s="126">
        <v>-264.97699999999998</v>
      </c>
      <c r="H68" s="126">
        <f>' STB_FS_полугодовой'!G55+' STB_FS_полугодовой'!H55</f>
        <v>-272.2</v>
      </c>
      <c r="I68" s="126">
        <f>' STB_FS_полугодовой'!I55+' STB_FS_полугодовой'!J55</f>
        <v>-279.5</v>
      </c>
    </row>
    <row r="69" spans="2:12" ht="14.25">
      <c r="B69" s="109" t="s">
        <v>42</v>
      </c>
      <c r="C69" s="112" t="s">
        <v>65</v>
      </c>
      <c r="D69" s="112"/>
      <c r="E69" s="125"/>
      <c r="F69" s="126">
        <v>-45.5</v>
      </c>
      <c r="G69" s="126">
        <v>-67.793999999999997</v>
      </c>
      <c r="H69" s="126">
        <f>' STB_FS_полугодовой'!G56+' STB_FS_полугодовой'!H56</f>
        <v>-41.4</v>
      </c>
      <c r="I69" s="126">
        <f>' STB_FS_полугодовой'!I56+' STB_FS_полугодовой'!J56</f>
        <v>-60.099999999999994</v>
      </c>
    </row>
    <row r="70" spans="2:12" ht="14.25">
      <c r="B70" s="109" t="s">
        <v>11</v>
      </c>
      <c r="C70" s="112" t="s">
        <v>65</v>
      </c>
      <c r="D70" s="112"/>
      <c r="E70" s="125"/>
      <c r="F70" s="126">
        <v>-29.818999999999999</v>
      </c>
      <c r="G70" s="126">
        <v>-263.74799999999999</v>
      </c>
      <c r="H70" s="126">
        <f>' STB_FS_полугодовой'!G57+' STB_FS_полугодовой'!H57</f>
        <v>-338.70000000000005</v>
      </c>
      <c r="I70" s="126">
        <f>' STB_FS_полугодовой'!I57+' STB_FS_полугодовой'!J57</f>
        <v>-480.90000000000003</v>
      </c>
    </row>
    <row r="71" spans="2:12" ht="14.25">
      <c r="B71" s="109" t="s">
        <v>109</v>
      </c>
      <c r="C71" s="112"/>
      <c r="D71" s="112"/>
      <c r="E71" s="125"/>
      <c r="F71" s="126">
        <v>-30.393999999999998</v>
      </c>
      <c r="G71" s="126">
        <v>-96.105999999999995</v>
      </c>
      <c r="H71" s="126">
        <f>' STB_FS_полугодовой'!G58+' STB_FS_полугодовой'!H58</f>
        <v>-47.4</v>
      </c>
      <c r="I71" s="126">
        <f>' STB_FS_полугодовой'!I58+' STB_FS_полугодовой'!J58</f>
        <v>-71.599999999999994</v>
      </c>
    </row>
    <row r="72" spans="2:12" ht="14.25">
      <c r="B72" s="109" t="s">
        <v>57</v>
      </c>
      <c r="C72" s="112" t="s">
        <v>65</v>
      </c>
      <c r="D72" s="112"/>
      <c r="E72" s="125"/>
      <c r="F72" s="126">
        <f>SUM(F64:F71)</f>
        <v>0.74400000000010991</v>
      </c>
      <c r="G72" s="126">
        <f>SUM(G64:G71)</f>
        <v>15.939999999999884</v>
      </c>
      <c r="H72" s="126">
        <f>SUM(H64:H71)</f>
        <v>2.6859999999999573</v>
      </c>
      <c r="I72" s="126">
        <f>SUM(I64:I71)</f>
        <v>-2.301000000000073</v>
      </c>
    </row>
    <row r="73" spans="2:12" ht="25.5">
      <c r="B73" s="109" t="s">
        <v>55</v>
      </c>
      <c r="C73" s="112" t="s">
        <v>65</v>
      </c>
      <c r="D73" s="112"/>
      <c r="E73" s="125"/>
      <c r="F73" s="126"/>
      <c r="G73" s="126"/>
      <c r="H73" s="126">
        <f>' STB_FS_полугодовой'!G60+' STB_FS_полугодовой'!H60</f>
        <v>-3.4370000000000003</v>
      </c>
      <c r="I73" s="126">
        <f>' STB_FS_полугодовой'!I60+' STB_FS_полугодовой'!J60</f>
        <v>0</v>
      </c>
    </row>
    <row r="74" spans="2:12" ht="25.5">
      <c r="B74" s="109" t="s">
        <v>56</v>
      </c>
      <c r="C74" s="112" t="s">
        <v>65</v>
      </c>
      <c r="D74" s="112"/>
      <c r="E74" s="125"/>
      <c r="F74" s="126"/>
      <c r="G74" s="126"/>
      <c r="H74" s="126">
        <f>' STB_FS_полугодовой'!G61+' STB_FS_полугодовой'!H61</f>
        <v>0</v>
      </c>
      <c r="I74" s="126">
        <f>' STB_FS_полугодовой'!I61+' STB_FS_полугодовой'!J61</f>
        <v>0</v>
      </c>
    </row>
    <row r="75" spans="2:12" ht="14.25">
      <c r="B75" s="109" t="s">
        <v>58</v>
      </c>
      <c r="C75" s="112" t="s">
        <v>65</v>
      </c>
      <c r="D75" s="113"/>
      <c r="E75" s="125"/>
      <c r="F75" s="126"/>
      <c r="G75" s="126"/>
      <c r="H75" s="126">
        <f>' STB_FS_полугодовой'!G62+' STB_FS_полугодовой'!H62</f>
        <v>0</v>
      </c>
      <c r="I75" s="126">
        <f>' STB_FS_полугодовой'!I62+' STB_FS_полугодовой'!J62</f>
        <v>0</v>
      </c>
    </row>
    <row r="76" spans="2:12" ht="14.25">
      <c r="B76" s="109" t="s">
        <v>59</v>
      </c>
      <c r="C76" s="112" t="s">
        <v>65</v>
      </c>
      <c r="D76" s="114"/>
      <c r="E76" s="125"/>
      <c r="F76" s="126"/>
      <c r="G76" s="126"/>
      <c r="H76" s="126">
        <f>' STB_FS_полугодовой'!G63+' STB_FS_полугодовой'!H63</f>
        <v>0</v>
      </c>
      <c r="I76" s="126">
        <f>' STB_FS_полугодовой'!I63+' STB_FS_полугодовой'!J63</f>
        <v>0</v>
      </c>
    </row>
    <row r="77" spans="2:12" ht="14.25">
      <c r="B77" s="109" t="s">
        <v>60</v>
      </c>
      <c r="C77" s="112" t="s">
        <v>65</v>
      </c>
      <c r="D77" s="112"/>
      <c r="E77" s="125"/>
      <c r="F77" s="126"/>
      <c r="G77" s="126"/>
      <c r="H77" s="126">
        <f>' STB_FS_полугодовой'!G64+' STB_FS_полугодовой'!H64</f>
        <v>0</v>
      </c>
      <c r="I77" s="126">
        <f>' STB_FS_полугодовой'!I64+' STB_FS_полугодовой'!J64</f>
        <v>0</v>
      </c>
    </row>
    <row r="78" spans="2:12" ht="14.25">
      <c r="B78" s="120" t="s">
        <v>61</v>
      </c>
      <c r="C78" s="112" t="s">
        <v>65</v>
      </c>
      <c r="D78" s="112"/>
      <c r="E78" s="125"/>
      <c r="F78" s="126"/>
      <c r="G78" s="126"/>
      <c r="H78" s="126">
        <f>' STB_FS_полугодовой'!G65+' STB_FS_полугодовой'!H65</f>
        <v>0</v>
      </c>
      <c r="I78" s="126">
        <f>' STB_FS_полугодовой'!I65+' STB_FS_полугодовой'!J65</f>
        <v>0</v>
      </c>
    </row>
    <row r="79" spans="2:12" ht="16.350000000000001" customHeight="1">
      <c r="B79" s="120" t="s">
        <v>148</v>
      </c>
      <c r="C79" s="112"/>
      <c r="D79" s="112"/>
      <c r="E79" s="104"/>
      <c r="F79" s="126"/>
      <c r="G79" s="126"/>
      <c r="H79" s="126">
        <v>15</v>
      </c>
      <c r="I79" s="126">
        <f t="shared" ref="I79" si="10">H80</f>
        <v>14.248999999999956</v>
      </c>
      <c r="J79" s="93"/>
      <c r="K79" s="93"/>
      <c r="L79" s="93"/>
    </row>
    <row r="80" spans="2:12" ht="14.25">
      <c r="B80" s="115" t="s">
        <v>3</v>
      </c>
      <c r="C80" s="112" t="s">
        <v>65</v>
      </c>
      <c r="D80" s="112"/>
      <c r="E80" s="127"/>
      <c r="F80" s="126"/>
      <c r="G80" s="126"/>
      <c r="H80" s="126">
        <f>SUM(H72:H79)</f>
        <v>14.248999999999956</v>
      </c>
      <c r="I80" s="126">
        <f>SUM(I72:I79)</f>
        <v>11.947999999999883</v>
      </c>
    </row>
    <row r="81" spans="1:16">
      <c r="B81" s="18"/>
      <c r="C81" s="9"/>
      <c r="D81" s="9"/>
      <c r="H81" s="128"/>
      <c r="I81" s="128"/>
    </row>
    <row r="82" spans="1:16" s="6" customFormat="1" ht="15.4" thickBot="1">
      <c r="A82" s="3" t="s">
        <v>76</v>
      </c>
      <c r="B82" s="50"/>
      <c r="C82" s="5" t="s">
        <v>20</v>
      </c>
      <c r="D82" s="5" t="s">
        <v>21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2"/>
      <c r="K82" s="1"/>
      <c r="L82" s="2"/>
      <c r="M82" s="1"/>
      <c r="N82" s="2"/>
      <c r="O82" s="1"/>
      <c r="P82" s="2"/>
    </row>
    <row r="83" spans="1:16" ht="25.5">
      <c r="B83" s="51" t="s">
        <v>77</v>
      </c>
      <c r="C83" s="9" t="s">
        <v>75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 ht="13.15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 ht="13.15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 ht="13.15">
      <c r="C109" s="52"/>
      <c r="D109" s="52"/>
    </row>
    <row r="110" spans="2:4">
      <c r="C110" s="17"/>
      <c r="D110" s="17"/>
    </row>
    <row r="111" spans="2:4" ht="13.15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 ht="13.15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22" sqref="K22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3.59765625" style="7" customWidth="1"/>
    <col min="6" max="6" width="21.59765625" style="7" bestFit="1" customWidth="1"/>
    <col min="7" max="7" width="13.73046875" style="7" customWidth="1"/>
    <col min="8" max="8" width="21.59765625" style="7" bestFit="1" customWidth="1"/>
    <col min="9" max="9" width="13.73046875" style="7" customWidth="1"/>
    <col min="10" max="10" width="21.59765625" style="7" bestFit="1" customWidth="1"/>
    <col min="11" max="12" width="8" style="7"/>
    <col min="13" max="13" width="10.73046875" style="7" bestFit="1" customWidth="1"/>
    <col min="14" max="16384" width="8" style="7"/>
  </cols>
  <sheetData>
    <row r="1" spans="1:13" s="6" customFormat="1" ht="15.4" thickBot="1">
      <c r="A1" s="3" t="s">
        <v>69</v>
      </c>
      <c r="B1" s="4"/>
      <c r="C1" s="5" t="s">
        <v>20</v>
      </c>
      <c r="D1" s="5" t="s">
        <v>21</v>
      </c>
      <c r="E1" s="1" t="s">
        <v>78</v>
      </c>
      <c r="F1" s="2" t="s">
        <v>79</v>
      </c>
      <c r="G1" s="1" t="s">
        <v>80</v>
      </c>
      <c r="H1" s="2" t="s">
        <v>81</v>
      </c>
      <c r="I1" s="1" t="s">
        <v>161</v>
      </c>
      <c r="J1" s="2" t="s">
        <v>82</v>
      </c>
      <c r="K1" s="1" t="s">
        <v>160</v>
      </c>
    </row>
    <row r="2" spans="1:13" ht="14.25">
      <c r="B2" s="8" t="s">
        <v>98</v>
      </c>
      <c r="C2" s="9" t="s">
        <v>65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f>' STB_FS_квартально'!M2+' STB_FS_квартально'!N2</f>
        <v>2944.6660000000002</v>
      </c>
    </row>
    <row r="3" spans="1:13" ht="14.25">
      <c r="B3" s="11" t="s">
        <v>99</v>
      </c>
      <c r="C3" s="9" t="s">
        <v>65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f>' STB_FS_квартально'!M3+' STB_FS_квартально'!N3</f>
        <v>-1874.5309999999999</v>
      </c>
    </row>
    <row r="4" spans="1:13" ht="14.25">
      <c r="B4" s="47" t="s">
        <v>12</v>
      </c>
      <c r="C4" s="9" t="s">
        <v>65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f>' STB_FS_квартально'!M4+' STB_FS_квартально'!N4</f>
        <v>1070.1350000000002</v>
      </c>
    </row>
    <row r="5" spans="1:13" ht="14.25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>
        <f>' STB_FS_квартально'!M5+' STB_FS_квартально'!N5</f>
        <v>0</v>
      </c>
    </row>
    <row r="6" spans="1:13" ht="14.25">
      <c r="B6" s="11" t="s">
        <v>10</v>
      </c>
      <c r="C6" s="9" t="s">
        <v>65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f>' STB_FS_квартально'!M6+' STB_FS_квартально'!N6</f>
        <v>-686.13099999999997</v>
      </c>
    </row>
    <row r="7" spans="1:13" ht="14.25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>
        <f>' STB_FS_квартально'!M7+' STB_FS_квартально'!N7</f>
        <v>0</v>
      </c>
    </row>
    <row r="8" spans="1:13" ht="14.25">
      <c r="B8" s="11" t="s">
        <v>11</v>
      </c>
      <c r="C8" s="9" t="s">
        <v>65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f>' STB_FS_квартально'!M8+' STB_FS_квартально'!N8</f>
        <v>0</v>
      </c>
    </row>
    <row r="9" spans="1:13" ht="14.25">
      <c r="B9" s="47" t="s">
        <v>67</v>
      </c>
      <c r="C9" s="9" t="s">
        <v>65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f>' STB_FS_квартально'!M9+' STB_FS_квартально'!N9</f>
        <v>384.00400000000025</v>
      </c>
    </row>
    <row r="10" spans="1:13">
      <c r="B10" s="18"/>
      <c r="C10" s="9"/>
      <c r="D10" s="9"/>
    </row>
    <row r="11" spans="1:13" s="6" customFormat="1" ht="15.4" thickBot="1">
      <c r="A11" s="3" t="s">
        <v>68</v>
      </c>
      <c r="B11" s="4"/>
      <c r="C11" s="5" t="s">
        <v>20</v>
      </c>
      <c r="D11" s="5" t="s">
        <v>21</v>
      </c>
      <c r="E11" s="1" t="s">
        <v>78</v>
      </c>
      <c r="F11" s="2" t="s">
        <v>79</v>
      </c>
      <c r="G11" s="1" t="s">
        <v>80</v>
      </c>
      <c r="H11" s="2" t="s">
        <v>81</v>
      </c>
      <c r="I11" s="1" t="s">
        <v>161</v>
      </c>
      <c r="J11" s="2" t="s">
        <v>82</v>
      </c>
      <c r="K11" s="1" t="s">
        <v>160</v>
      </c>
    </row>
    <row r="12" spans="1:13" ht="13.15">
      <c r="B12" s="11" t="s">
        <v>29</v>
      </c>
      <c r="C12" s="9" t="s">
        <v>65</v>
      </c>
      <c r="D12" s="46"/>
      <c r="E12" s="101">
        <v>454</v>
      </c>
      <c r="F12" s="101">
        <v>439</v>
      </c>
      <c r="G12" s="101">
        <v>347</v>
      </c>
      <c r="H12" s="101">
        <v>328</v>
      </c>
      <c r="I12" s="101">
        <v>282</v>
      </c>
      <c r="J12" s="101">
        <v>310</v>
      </c>
      <c r="K12" s="7">
        <v>340</v>
      </c>
      <c r="M12" s="48"/>
    </row>
    <row r="13" spans="1:13">
      <c r="B13" s="11" t="s">
        <v>25</v>
      </c>
      <c r="C13" s="9" t="s">
        <v>65</v>
      </c>
      <c r="D13" s="9"/>
      <c r="E13" s="101">
        <v>322</v>
      </c>
      <c r="F13" s="101">
        <v>526</v>
      </c>
      <c r="G13" s="101">
        <v>260</v>
      </c>
      <c r="H13" s="101">
        <v>502.7</v>
      </c>
      <c r="I13" s="101">
        <v>651</v>
      </c>
      <c r="J13" s="101">
        <v>675</v>
      </c>
      <c r="K13" s="7">
        <v>1084</v>
      </c>
    </row>
    <row r="14" spans="1:13">
      <c r="B14" s="98" t="s">
        <v>30</v>
      </c>
      <c r="C14" s="9" t="s">
        <v>65</v>
      </c>
      <c r="D14" s="9"/>
      <c r="E14" s="101">
        <v>262</v>
      </c>
      <c r="F14" s="101">
        <v>259</v>
      </c>
      <c r="G14" s="101">
        <f>1499-1121</f>
        <v>378</v>
      </c>
      <c r="H14" s="101">
        <v>374</v>
      </c>
      <c r="I14" s="101">
        <f>1493-1253</f>
        <v>240</v>
      </c>
      <c r="J14" s="101">
        <v>264.09999999999991</v>
      </c>
      <c r="K14" s="7">
        <v>210</v>
      </c>
    </row>
    <row r="15" spans="1:13">
      <c r="B15" s="11" t="s">
        <v>31</v>
      </c>
      <c r="C15" s="9" t="s">
        <v>65</v>
      </c>
      <c r="D15" s="9"/>
      <c r="E15" s="101">
        <v>11</v>
      </c>
      <c r="F15" s="101"/>
      <c r="G15" s="101"/>
      <c r="H15" s="101"/>
      <c r="I15" s="101"/>
      <c r="J15" s="101"/>
    </row>
    <row r="16" spans="1:13">
      <c r="B16" s="11" t="s">
        <v>32</v>
      </c>
      <c r="C16" s="9" t="s">
        <v>65</v>
      </c>
      <c r="D16" s="9"/>
      <c r="E16" s="101">
        <v>1.2</v>
      </c>
      <c r="F16" s="101">
        <v>17</v>
      </c>
      <c r="G16" s="101">
        <v>22.9</v>
      </c>
      <c r="H16" s="101">
        <v>14.1</v>
      </c>
      <c r="I16" s="101">
        <v>12.6</v>
      </c>
      <c r="J16" s="101">
        <v>13</v>
      </c>
      <c r="K16" s="7">
        <v>57.6</v>
      </c>
    </row>
    <row r="17" spans="1:24" ht="13.15">
      <c r="B17" s="47" t="s">
        <v>34</v>
      </c>
      <c r="C17" s="9" t="s">
        <v>65</v>
      </c>
      <c r="D17" s="9"/>
      <c r="E17" s="103">
        <f t="shared" ref="E17" si="2">SUM(E12:E16)</f>
        <v>1050.2</v>
      </c>
      <c r="F17" s="103">
        <f>SUM(F12:F16)</f>
        <v>1241</v>
      </c>
      <c r="G17" s="103">
        <f t="shared" ref="G17:K17" si="3">SUM(G12:G16)</f>
        <v>1007.9</v>
      </c>
      <c r="H17" s="103">
        <f t="shared" si="3"/>
        <v>1218.8</v>
      </c>
      <c r="I17" s="103">
        <f t="shared" si="3"/>
        <v>1185.5999999999999</v>
      </c>
      <c r="J17" s="103">
        <f t="shared" si="3"/>
        <v>1262.0999999999999</v>
      </c>
      <c r="K17" s="103">
        <f t="shared" si="3"/>
        <v>1691.6</v>
      </c>
    </row>
    <row r="18" spans="1:24" ht="13.15">
      <c r="B18" s="35"/>
      <c r="C18" s="9"/>
      <c r="D18" s="9"/>
      <c r="E18" s="103"/>
      <c r="F18" s="103"/>
      <c r="G18" s="103"/>
      <c r="H18" s="103"/>
      <c r="I18" s="102"/>
      <c r="J18" s="102"/>
    </row>
    <row r="19" spans="1:24" s="6" customFormat="1" ht="15.4" thickBot="1">
      <c r="A19" s="3" t="s">
        <v>62</v>
      </c>
      <c r="B19" s="4"/>
      <c r="C19" s="5" t="s">
        <v>20</v>
      </c>
      <c r="D19" s="5" t="s">
        <v>21</v>
      </c>
      <c r="E19" s="68" t="s">
        <v>78</v>
      </c>
      <c r="F19" s="69" t="s">
        <v>79</v>
      </c>
      <c r="G19" s="68" t="s">
        <v>80</v>
      </c>
      <c r="H19" s="69" t="s">
        <v>81</v>
      </c>
      <c r="I19" s="68" t="s">
        <v>161</v>
      </c>
      <c r="J19" s="69" t="s">
        <v>82</v>
      </c>
      <c r="K19" s="1" t="s">
        <v>160</v>
      </c>
    </row>
    <row r="20" spans="1:24" ht="16.350000000000001" customHeight="1">
      <c r="B20" s="84" t="s">
        <v>145</v>
      </c>
      <c r="C20" s="85" t="s">
        <v>65</v>
      </c>
      <c r="D20" s="85"/>
      <c r="E20" s="90"/>
      <c r="F20" s="90"/>
      <c r="G20" s="90">
        <f>' STB_FS_квартально'!E12+' STB_FS_квартально'!F12</f>
        <v>4.2430000000000021</v>
      </c>
      <c r="H20" s="90">
        <f>' STB_FS_квартально'!G12+' STB_FS_квартально'!H12</f>
        <v>94.109000000000009</v>
      </c>
      <c r="I20" s="90">
        <f>' STB_FS_квартально'!I12+' STB_FS_квартально'!J12</f>
        <v>34.47</v>
      </c>
      <c r="J20" s="90">
        <f>' STB_FS_квартально'!K12+' STB_FS_квартально'!L12</f>
        <v>112.98800000000001</v>
      </c>
      <c r="K20" s="90">
        <f>' STB_FS_квартально'!M12+' STB_FS_квартально'!N12</f>
        <v>-38.58</v>
      </c>
      <c r="L20" s="90"/>
      <c r="M20" s="55"/>
    </row>
    <row r="21" spans="1:24" ht="16.350000000000001" customHeight="1">
      <c r="B21" s="84" t="s">
        <v>128</v>
      </c>
      <c r="C21" s="85" t="s">
        <v>65</v>
      </c>
      <c r="D21" s="85"/>
      <c r="E21" s="90"/>
      <c r="F21" s="90"/>
      <c r="G21" s="90">
        <f>' STB_FS_квартально'!E13+' STB_FS_квартально'!F13</f>
        <v>139.11199999999999</v>
      </c>
      <c r="H21" s="90">
        <f>' STB_FS_квартально'!G13+' STB_FS_квартально'!H13</f>
        <v>76.174000000000007</v>
      </c>
      <c r="I21" s="90">
        <f>' STB_FS_квартально'!I13+' STB_FS_квартально'!J13</f>
        <v>140.755</v>
      </c>
      <c r="J21" s="90">
        <f>' STB_FS_квартально'!K13+' STB_FS_квартально'!L13</f>
        <v>79.075000000000017</v>
      </c>
      <c r="K21" s="90">
        <f>' STB_FS_квартально'!M13+' STB_FS_квартально'!N13</f>
        <v>145.9</v>
      </c>
      <c r="L21" s="90"/>
      <c r="M21" s="55"/>
    </row>
    <row r="22" spans="1:24" ht="16.350000000000001" customHeight="1">
      <c r="B22" s="84" t="s">
        <v>144</v>
      </c>
      <c r="C22" s="85" t="s">
        <v>65</v>
      </c>
      <c r="D22" s="85"/>
      <c r="E22" s="90"/>
      <c r="F22" s="90"/>
      <c r="G22" s="90">
        <f>' STB_FS_квартально'!E14+' STB_FS_квартально'!F14</f>
        <v>29.645</v>
      </c>
      <c r="H22" s="90">
        <f>' STB_FS_квартально'!G14+' STB_FS_квартально'!H14</f>
        <v>24.145999999999997</v>
      </c>
      <c r="I22" s="90">
        <f>' STB_FS_квартально'!I14+' STB_FS_квартально'!J14</f>
        <v>22.67</v>
      </c>
      <c r="J22" s="90">
        <f>' STB_FS_квартально'!K14+' STB_FS_квартально'!L14</f>
        <v>14.318999999999996</v>
      </c>
      <c r="K22" s="90">
        <f>' STB_FS_квартально'!M14+' STB_FS_квартально'!N14</f>
        <v>79.33</v>
      </c>
      <c r="L22" s="90"/>
      <c r="M22" s="55"/>
    </row>
    <row r="23" spans="1:24" ht="16.350000000000001" customHeight="1">
      <c r="B23" s="84" t="s">
        <v>142</v>
      </c>
      <c r="C23" s="85" t="s">
        <v>65</v>
      </c>
      <c r="D23" s="85"/>
      <c r="E23" s="90"/>
      <c r="F23" s="90"/>
      <c r="G23" s="90">
        <f>' STB_FS_квартально'!E15+' STB_FS_квартально'!F15</f>
        <v>-419.40100000000001</v>
      </c>
      <c r="H23" s="90">
        <f>' STB_FS_квартально'!G15+' STB_FS_квартально'!H15</f>
        <v>473.19199999999995</v>
      </c>
      <c r="I23" s="90">
        <f>' STB_FS_квартально'!I15+' STB_FS_квартально'!J15</f>
        <v>36.286999999999999</v>
      </c>
      <c r="J23" s="90">
        <f>' STB_FS_квартально'!K15+' STB_FS_квартально'!L15</f>
        <v>56.017000000000003</v>
      </c>
      <c r="K23" s="90">
        <f>' STB_FS_квартально'!M15+' STB_FS_квартально'!N15</f>
        <v>19.2</v>
      </c>
      <c r="L23" s="90"/>
      <c r="M23" s="55"/>
    </row>
    <row r="24" spans="1:24" ht="16.350000000000001" customHeight="1">
      <c r="B24" s="11" t="s">
        <v>64</v>
      </c>
      <c r="C24" s="9" t="s">
        <v>65</v>
      </c>
      <c r="D24" s="46"/>
      <c r="E24" s="90"/>
      <c r="F24" s="90"/>
      <c r="G24" s="90">
        <f>' STB_FS_квартально'!E16+' STB_FS_квартально'!F16</f>
        <v>117.44000000000001</v>
      </c>
      <c r="H24" s="90">
        <f>' STB_FS_квартально'!G16+' STB_FS_квартально'!H16</f>
        <v>-381.21699999999998</v>
      </c>
      <c r="I24" s="90">
        <f>' STB_FS_квартально'!I16+' STB_FS_квартально'!J16</f>
        <v>108.87400000000002</v>
      </c>
      <c r="J24" s="90">
        <f>' STB_FS_квартально'!K16+' STB_FS_квартально'!L16</f>
        <v>36.49099999999995</v>
      </c>
      <c r="K24" s="90">
        <f>' STB_FS_квартально'!M16+' STB_FS_квартально'!N16</f>
        <v>129.5</v>
      </c>
      <c r="L24" s="90"/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65</v>
      </c>
      <c r="D25" s="9"/>
      <c r="E25" s="91">
        <f>SUM(E20:E24)</f>
        <v>0</v>
      </c>
      <c r="F25" s="91">
        <f t="shared" ref="F25:K25" si="4">SUM(F20:F24)</f>
        <v>0</v>
      </c>
      <c r="G25" s="91">
        <f t="shared" si="4"/>
        <v>-128.96100000000001</v>
      </c>
      <c r="H25" s="91">
        <f t="shared" si="4"/>
        <v>286.404</v>
      </c>
      <c r="I25" s="91">
        <f t="shared" si="4"/>
        <v>343.05600000000004</v>
      </c>
      <c r="J25" s="91">
        <f t="shared" si="4"/>
        <v>298.89</v>
      </c>
      <c r="K25" s="91">
        <f t="shared" si="4"/>
        <v>335.35</v>
      </c>
      <c r="L25" s="90"/>
      <c r="M25" s="55"/>
    </row>
    <row r="26" spans="1:24" ht="13.15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5.4" thickBot="1">
      <c r="A27" s="3" t="s">
        <v>43</v>
      </c>
      <c r="B27" s="4"/>
      <c r="C27" s="5" t="s">
        <v>20</v>
      </c>
      <c r="D27" s="5" t="s">
        <v>21</v>
      </c>
      <c r="E27" s="1" t="s">
        <v>78</v>
      </c>
      <c r="F27" s="2" t="s">
        <v>79</v>
      </c>
      <c r="G27" s="1" t="s">
        <v>80</v>
      </c>
      <c r="H27" s="2" t="s">
        <v>81</v>
      </c>
      <c r="I27" s="1" t="s">
        <v>161</v>
      </c>
      <c r="J27" s="2" t="s">
        <v>82</v>
      </c>
      <c r="K27" s="1" t="s">
        <v>160</v>
      </c>
    </row>
    <row r="28" spans="1:24">
      <c r="B28" s="8" t="s">
        <v>44</v>
      </c>
      <c r="C28" s="9" t="s">
        <v>65</v>
      </c>
      <c r="D28" s="9"/>
      <c r="E28" s="101">
        <v>21</v>
      </c>
      <c r="F28" s="101">
        <v>140</v>
      </c>
      <c r="G28" s="101">
        <f>118.1+56</f>
        <v>174.1</v>
      </c>
      <c r="H28" s="101">
        <v>263</v>
      </c>
      <c r="I28" s="101">
        <v>126.4</v>
      </c>
      <c r="J28" s="101">
        <v>213.2</v>
      </c>
      <c r="K28" s="7">
        <v>207</v>
      </c>
    </row>
    <row r="29" spans="1:24">
      <c r="B29" s="11" t="s">
        <v>45</v>
      </c>
      <c r="C29" s="9" t="s">
        <v>65</v>
      </c>
      <c r="D29" s="9"/>
      <c r="E29" s="101"/>
      <c r="F29" s="101"/>
      <c r="G29" s="101"/>
      <c r="H29" s="101"/>
      <c r="I29" s="101"/>
      <c r="J29" s="101"/>
    </row>
    <row r="30" spans="1:24">
      <c r="B30" s="109" t="s">
        <v>46</v>
      </c>
      <c r="C30" s="9" t="s">
        <v>65</v>
      </c>
      <c r="D30" s="9"/>
      <c r="E30" s="101"/>
      <c r="F30" s="101"/>
      <c r="G30" s="101"/>
      <c r="H30" s="101"/>
      <c r="I30" s="101"/>
      <c r="J30" s="101"/>
      <c r="K30" s="7">
        <v>192</v>
      </c>
    </row>
    <row r="31" spans="1:24" s="74" customFormat="1" ht="13.15">
      <c r="B31" s="99" t="s">
        <v>47</v>
      </c>
      <c r="C31" s="76" t="s">
        <v>65</v>
      </c>
      <c r="D31" s="76"/>
      <c r="E31" s="110">
        <f t="shared" ref="E31" si="5">SUM(E28:E30)</f>
        <v>21</v>
      </c>
      <c r="F31" s="110">
        <f>SUM(F28:F30)</f>
        <v>140</v>
      </c>
      <c r="G31" s="110">
        <f t="shared" ref="G31:J31" si="6">SUM(G28:G30)</f>
        <v>174.1</v>
      </c>
      <c r="H31" s="110">
        <f t="shared" si="6"/>
        <v>263</v>
      </c>
      <c r="I31" s="110">
        <f t="shared" si="6"/>
        <v>126.4</v>
      </c>
      <c r="J31" s="110">
        <f t="shared" si="6"/>
        <v>213.2</v>
      </c>
    </row>
    <row r="32" spans="1:24">
      <c r="B32" s="11" t="s">
        <v>48</v>
      </c>
      <c r="C32" s="9" t="s">
        <v>65</v>
      </c>
      <c r="D32" s="9"/>
      <c r="E32" s="101"/>
      <c r="F32" s="101"/>
      <c r="G32" s="101"/>
      <c r="H32" s="101"/>
      <c r="I32" s="101"/>
      <c r="J32" s="101"/>
    </row>
    <row r="33" spans="1:26">
      <c r="B33" s="11" t="s">
        <v>49</v>
      </c>
      <c r="C33" s="9" t="s">
        <v>65</v>
      </c>
      <c r="D33" s="17"/>
      <c r="E33" s="101"/>
      <c r="F33" s="101">
        <v>1228</v>
      </c>
      <c r="G33" s="101">
        <f>1182.4-G34</f>
        <v>1048.4000000000001</v>
      </c>
      <c r="H33" s="101">
        <v>1331.8</v>
      </c>
      <c r="I33" s="101">
        <f>1461.9-I34</f>
        <v>1434.2</v>
      </c>
      <c r="J33" s="101">
        <v>1503.4</v>
      </c>
      <c r="K33" s="7">
        <v>1347</v>
      </c>
      <c r="M33" s="48"/>
    </row>
    <row r="34" spans="1:26" ht="13.15">
      <c r="B34" s="11" t="s">
        <v>50</v>
      </c>
      <c r="C34" s="9" t="s">
        <v>65</v>
      </c>
      <c r="D34" s="46"/>
      <c r="E34" s="101"/>
      <c r="F34" s="101">
        <v>168</v>
      </c>
      <c r="G34" s="101">
        <v>134</v>
      </c>
      <c r="H34" s="101">
        <v>23.7</v>
      </c>
      <c r="I34" s="101">
        <v>27.7</v>
      </c>
      <c r="J34" s="101">
        <v>43.2</v>
      </c>
      <c r="K34" s="7">
        <v>39</v>
      </c>
    </row>
    <row r="35" spans="1:26">
      <c r="B35" s="11" t="s">
        <v>52</v>
      </c>
      <c r="C35" s="9" t="s">
        <v>65</v>
      </c>
      <c r="D35" s="9"/>
      <c r="E35" s="101"/>
      <c r="F35" s="101"/>
      <c r="G35" s="101"/>
      <c r="H35" s="101"/>
      <c r="I35" s="101"/>
      <c r="J35" s="101"/>
    </row>
    <row r="36" spans="1:26">
      <c r="B36" s="11" t="s">
        <v>51</v>
      </c>
      <c r="C36" s="9" t="s">
        <v>65</v>
      </c>
      <c r="D36" s="9"/>
      <c r="E36" s="101"/>
      <c r="F36" s="101">
        <v>234.4</v>
      </c>
      <c r="G36" s="101">
        <v>185</v>
      </c>
      <c r="H36" s="101">
        <v>127.6</v>
      </c>
      <c r="I36" s="101">
        <v>187</v>
      </c>
      <c r="J36" s="101">
        <v>231.7</v>
      </c>
      <c r="K36" s="133">
        <f>146.7+100</f>
        <v>246.7</v>
      </c>
    </row>
    <row r="37" spans="1:26">
      <c r="B37" s="11" t="s">
        <v>53</v>
      </c>
      <c r="C37" s="9" t="s">
        <v>65</v>
      </c>
      <c r="D37" s="9"/>
      <c r="E37" s="101">
        <f t="shared" ref="E37" si="7">E38-E33-E34-E36</f>
        <v>0</v>
      </c>
      <c r="F37" s="101">
        <f>F38-F33-F34-F36</f>
        <v>53.000000000000085</v>
      </c>
      <c r="G37" s="101">
        <f t="shared" ref="G37:J37" si="8">G38-G33-G34-G36</f>
        <v>49.599999999999909</v>
      </c>
      <c r="H37" s="101">
        <f t="shared" si="8"/>
        <v>60.499999999999972</v>
      </c>
      <c r="I37" s="101">
        <f t="shared" si="8"/>
        <v>28.099999999999966</v>
      </c>
      <c r="J37" s="101">
        <f t="shared" si="8"/>
        <v>52.499999999999886</v>
      </c>
      <c r="K37" s="7">
        <v>21.2</v>
      </c>
    </row>
    <row r="38" spans="1:26" s="74" customFormat="1" ht="13.15">
      <c r="B38" s="99" t="s">
        <v>54</v>
      </c>
      <c r="C38" s="76" t="s">
        <v>65</v>
      </c>
      <c r="D38" s="76"/>
      <c r="E38" s="110"/>
      <c r="F38" s="110">
        <v>1683.4</v>
      </c>
      <c r="G38" s="110">
        <f>2926-1119-420+30</f>
        <v>1417</v>
      </c>
      <c r="H38" s="110">
        <v>1543.6</v>
      </c>
      <c r="I38" s="110">
        <f>3390-459-1254</f>
        <v>1677</v>
      </c>
      <c r="J38" s="110">
        <v>1830.8</v>
      </c>
      <c r="K38" s="110">
        <f>SUM(K28:K37)</f>
        <v>2052.9</v>
      </c>
    </row>
    <row r="39" spans="1:26" ht="13.15">
      <c r="B39" s="14" t="s">
        <v>70</v>
      </c>
      <c r="C39" s="9" t="s">
        <v>65</v>
      </c>
      <c r="D39" s="9"/>
      <c r="E39" s="103">
        <f t="shared" ref="E39" si="9">E31+E38</f>
        <v>21</v>
      </c>
      <c r="F39" s="103">
        <f>F31+F38</f>
        <v>1823.4</v>
      </c>
      <c r="G39" s="103">
        <f t="shared" ref="G39:K39" si="10">G31+G38</f>
        <v>1591.1</v>
      </c>
      <c r="H39" s="103">
        <f t="shared" si="10"/>
        <v>1806.6</v>
      </c>
      <c r="I39" s="103">
        <f t="shared" si="10"/>
        <v>1803.4</v>
      </c>
      <c r="J39" s="103">
        <f t="shared" si="10"/>
        <v>2044</v>
      </c>
      <c r="K39" s="103">
        <f t="shared" si="10"/>
        <v>2052.9</v>
      </c>
    </row>
    <row r="40" spans="1:26" ht="13.15">
      <c r="B40" s="35"/>
      <c r="C40" s="9"/>
      <c r="D40" s="9"/>
      <c r="E40" s="34"/>
      <c r="F40" s="34"/>
      <c r="G40" s="34"/>
      <c r="H40" s="34"/>
    </row>
    <row r="41" spans="1:26" s="6" customFormat="1" ht="15.4" thickBot="1">
      <c r="A41" s="3" t="s">
        <v>63</v>
      </c>
      <c r="B41" s="4"/>
      <c r="C41" s="5" t="s">
        <v>20</v>
      </c>
      <c r="D41" s="5" t="s">
        <v>21</v>
      </c>
      <c r="E41" s="1" t="s">
        <v>78</v>
      </c>
      <c r="F41" s="2" t="s">
        <v>79</v>
      </c>
      <c r="G41" s="1" t="s">
        <v>80</v>
      </c>
      <c r="H41" s="2" t="s">
        <v>81</v>
      </c>
      <c r="I41" s="1" t="s">
        <v>161</v>
      </c>
      <c r="J41" s="2" t="s">
        <v>82</v>
      </c>
      <c r="K41" s="1" t="s">
        <v>160</v>
      </c>
    </row>
    <row r="42" spans="1:26">
      <c r="B42" s="111" t="str">
        <f>' STB_FS_квартально'!B20</f>
        <v>ЧСК "Шабакахои интиколи барк"</v>
      </c>
      <c r="C42" s="112" t="s">
        <v>65</v>
      </c>
      <c r="D42" s="112"/>
      <c r="E42" s="101">
        <v>698</v>
      </c>
      <c r="F42" s="101">
        <v>568</v>
      </c>
      <c r="G42" s="101">
        <f>' STB_FS_квартально'!F20</f>
        <v>739</v>
      </c>
      <c r="H42" s="101">
        <f>' STB_FS_квартально'!H20</f>
        <v>856</v>
      </c>
      <c r="I42" s="101">
        <f>' STB_FS_квартально'!J20</f>
        <v>1020</v>
      </c>
      <c r="J42" s="101">
        <f>' STB_FS_квартально'!L20</f>
        <v>1171</v>
      </c>
    </row>
    <row r="43" spans="1:26">
      <c r="B43" s="111" t="str">
        <f>' STB_FS_квартально'!B21</f>
        <v>ШСХК "Барки Точик"</v>
      </c>
      <c r="C43" s="112" t="s">
        <v>65</v>
      </c>
      <c r="D43" s="112"/>
      <c r="E43" s="101"/>
      <c r="F43" s="101">
        <v>465</v>
      </c>
      <c r="G43" s="101">
        <f>' STB_FS_квартально'!F21</f>
        <v>167</v>
      </c>
      <c r="H43" s="101">
        <f>' STB_FS_квартально'!H21</f>
        <v>308</v>
      </c>
      <c r="I43" s="101">
        <f>' STB_FS_квартально'!J21</f>
        <v>209</v>
      </c>
      <c r="J43" s="101">
        <f>' STB_FS_квартально'!L21</f>
        <v>117</v>
      </c>
    </row>
    <row r="44" spans="1:26">
      <c r="B44" s="111" t="str">
        <f>' STB_FS_квартально'!B22</f>
        <v>Нокили Талко</v>
      </c>
      <c r="C44" s="112" t="s">
        <v>65</v>
      </c>
      <c r="D44" s="113"/>
      <c r="E44" s="101"/>
      <c r="F44" s="101"/>
      <c r="G44" s="101">
        <f>' STB_FS_квартально'!F22</f>
        <v>17</v>
      </c>
      <c r="H44" s="101">
        <f>' STB_FS_квартально'!H22</f>
        <v>9.6</v>
      </c>
      <c r="I44" s="101">
        <f>' STB_FS_квартально'!J22</f>
        <v>9.6</v>
      </c>
      <c r="J44" s="101">
        <f>' STB_FS_квартально'!L22</f>
        <v>8.4</v>
      </c>
    </row>
    <row r="45" spans="1:26" ht="13.15">
      <c r="B45" s="111" t="str">
        <f>' STB_FS_квартально'!B23</f>
        <v>ОАО Трансформатор</v>
      </c>
      <c r="C45" s="112" t="s">
        <v>65</v>
      </c>
      <c r="D45" s="114"/>
      <c r="E45" s="101"/>
      <c r="F45" s="101"/>
      <c r="G45" s="101">
        <f>' STB_FS_квартально'!F23</f>
        <v>12.7</v>
      </c>
      <c r="H45" s="101">
        <f>' STB_FS_квартально'!H23</f>
        <v>12.7</v>
      </c>
      <c r="I45" s="101">
        <f>' STB_FS_квартально'!J23</f>
        <v>5.2</v>
      </c>
      <c r="J45" s="101">
        <f>' STB_FS_квартально'!L23</f>
        <v>4.5</v>
      </c>
    </row>
    <row r="46" spans="1:26" ht="13.15">
      <c r="B46" s="111" t="str">
        <f>' STB_FS_квартально'!B24</f>
        <v>ЧСК "Сомон Кулоб - тачхизот"</v>
      </c>
      <c r="C46" s="112" t="s">
        <v>65</v>
      </c>
      <c r="D46" s="114"/>
      <c r="E46" s="101"/>
      <c r="F46" s="101"/>
      <c r="G46" s="101">
        <f>' STB_FS_квартально'!F24</f>
        <v>4.9000000000000004</v>
      </c>
      <c r="H46" s="101">
        <f>' STB_FS_квартально'!H24</f>
        <v>4.0999999999999996</v>
      </c>
      <c r="I46" s="101">
        <f>' STB_FS_квартально'!J24</f>
        <v>4.0999999999999996</v>
      </c>
      <c r="J46" s="101">
        <f>' STB_FS_квартально'!L24</f>
        <v>2.1</v>
      </c>
    </row>
    <row r="47" spans="1:26" ht="13.15">
      <c r="B47" s="109" t="s">
        <v>64</v>
      </c>
      <c r="C47" s="112" t="s">
        <v>65</v>
      </c>
      <c r="D47" s="114"/>
      <c r="E47" s="101"/>
      <c r="F47" s="101"/>
      <c r="G47" s="101">
        <f>' STB_FS_квартально'!F25</f>
        <v>241.4</v>
      </c>
      <c r="H47" s="101">
        <f>' STB_FS_квартально'!H25</f>
        <v>317.59999999999997</v>
      </c>
      <c r="I47" s="101">
        <f>' STB_FS_квартально'!J25</f>
        <v>213.10000000000002</v>
      </c>
      <c r="J47" s="101">
        <f>' STB_FS_квартально'!L25</f>
        <v>243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15">
      <c r="B48" s="115" t="s">
        <v>0</v>
      </c>
      <c r="C48" s="112" t="s">
        <v>65</v>
      </c>
      <c r="D48" s="112"/>
      <c r="E48" s="103"/>
      <c r="F48" s="103"/>
      <c r="G48" s="101">
        <f>' STB_FS_квартально'!F26</f>
        <v>1182</v>
      </c>
      <c r="H48" s="101">
        <f>' STB_FS_квартально'!H26</f>
        <v>1508</v>
      </c>
      <c r="I48" s="101">
        <f>' STB_FS_квартально'!J26</f>
        <v>1461</v>
      </c>
      <c r="J48" s="101">
        <f>' STB_FS_квартально'!L26</f>
        <v>1546</v>
      </c>
    </row>
    <row r="49" spans="1:14">
      <c r="B49" s="116"/>
      <c r="C49" s="112"/>
      <c r="D49" s="112"/>
      <c r="E49" s="102"/>
      <c r="F49" s="102"/>
      <c r="G49" s="102"/>
      <c r="H49" s="102"/>
      <c r="I49" s="102"/>
      <c r="J49" s="102"/>
    </row>
    <row r="50" spans="1:14" s="6" customFormat="1" ht="15.4" thickBot="1">
      <c r="A50" s="3" t="s">
        <v>36</v>
      </c>
      <c r="B50" s="49"/>
      <c r="C50" s="5" t="s">
        <v>20</v>
      </c>
      <c r="D50" s="5" t="s">
        <v>21</v>
      </c>
      <c r="E50" s="1" t="s">
        <v>78</v>
      </c>
      <c r="F50" s="2" t="s">
        <v>79</v>
      </c>
      <c r="G50" s="1" t="s">
        <v>80</v>
      </c>
      <c r="H50" s="2" t="s">
        <v>81</v>
      </c>
      <c r="I50" s="1" t="s">
        <v>161</v>
      </c>
      <c r="J50" s="2" t="s">
        <v>82</v>
      </c>
      <c r="K50" s="1" t="s">
        <v>160</v>
      </c>
      <c r="L50" s="2"/>
      <c r="M50" s="1"/>
      <c r="N50" s="2"/>
    </row>
    <row r="51" spans="1:14">
      <c r="B51" s="111" t="s">
        <v>37</v>
      </c>
      <c r="C51" s="112" t="s">
        <v>65</v>
      </c>
      <c r="D51" s="112"/>
      <c r="E51" s="104">
        <v>1578.3783783783783</v>
      </c>
      <c r="F51" s="104">
        <v>1341.6216216216217</v>
      </c>
      <c r="G51" s="104">
        <f>' STB_FS_квартально'!E29+' STB_FS_квартально'!F29</f>
        <v>2132.1</v>
      </c>
      <c r="H51" s="104">
        <f>' STB_FS_квартально'!G29+' STB_FS_квартально'!H29</f>
        <v>1720.4</v>
      </c>
      <c r="I51" s="105">
        <f>' STB_FS_квартально'!I29+' STB_FS_квартально'!J29</f>
        <v>2063.5</v>
      </c>
      <c r="J51" s="105">
        <f>' STB_FS_квартально'!K29+' STB_FS_квартально'!L29</f>
        <v>2481.8000000000002</v>
      </c>
      <c r="K51" s="105">
        <f>' STB_FS_квартально'!N29+' STB_FS_квартально'!M29</f>
        <v>2866</v>
      </c>
      <c r="L51" s="93"/>
    </row>
    <row r="52" spans="1:14">
      <c r="B52" s="109" t="s">
        <v>38</v>
      </c>
      <c r="C52" s="112" t="s">
        <v>65</v>
      </c>
      <c r="D52" s="112"/>
      <c r="E52" s="104">
        <v>10.810810810810811</v>
      </c>
      <c r="F52" s="104">
        <v>9.1891891891891895</v>
      </c>
      <c r="G52" s="104">
        <f>' STB_FS_квартально'!E30+' STB_FS_квартально'!F30</f>
        <v>0.4</v>
      </c>
      <c r="H52" s="104">
        <f>' STB_FS_квартально'!G30+' STB_FS_квартально'!H30</f>
        <v>0</v>
      </c>
      <c r="I52" s="105">
        <f>' STB_FS_квартально'!I30+' STB_FS_квартально'!J30</f>
        <v>0</v>
      </c>
      <c r="J52" s="105">
        <f>' STB_FS_квартально'!K30+' STB_FS_квартально'!L30</f>
        <v>0</v>
      </c>
      <c r="K52" s="105">
        <f>' STB_FS_квартально'!N30+' STB_FS_квартально'!M30</f>
        <v>0.72</v>
      </c>
      <c r="L52" s="93"/>
    </row>
    <row r="53" spans="1:14">
      <c r="B53" s="109" t="s">
        <v>39</v>
      </c>
      <c r="C53" s="112" t="s">
        <v>65</v>
      </c>
      <c r="D53" s="112"/>
      <c r="E53" s="104">
        <v>-184.32432432432432</v>
      </c>
      <c r="F53" s="104">
        <v>-156.67567567567568</v>
      </c>
      <c r="G53" s="104">
        <f>' STB_FS_квартально'!E31+' STB_FS_квартально'!F31</f>
        <v>-58.342999999999996</v>
      </c>
      <c r="H53" s="104">
        <f>' STB_FS_квартально'!G31+' STB_FS_квартально'!H31</f>
        <v>-125.67100000000001</v>
      </c>
      <c r="I53" s="105">
        <f>' STB_FS_квартально'!I31+' STB_FS_квартально'!J31</f>
        <v>-81.326999999999998</v>
      </c>
      <c r="J53" s="105">
        <f>' STB_FS_квартально'!K31+' STB_FS_квартально'!L31</f>
        <v>-201.37399999999997</v>
      </c>
      <c r="K53" s="105">
        <f>' STB_FS_квартально'!N31+' STB_FS_квартально'!M31</f>
        <v>-128.0199999999999</v>
      </c>
      <c r="L53" s="93"/>
    </row>
    <row r="54" spans="1:14" ht="13.15">
      <c r="B54" s="109" t="s">
        <v>40</v>
      </c>
      <c r="C54" s="112" t="s">
        <v>65</v>
      </c>
      <c r="D54" s="114"/>
      <c r="E54" s="104">
        <v>-1022.1621621621621</v>
      </c>
      <c r="F54" s="104">
        <v>-868.83783783783792</v>
      </c>
      <c r="G54" s="104">
        <f>' STB_FS_квартально'!E32+' STB_FS_квартально'!F32</f>
        <v>-1717.4</v>
      </c>
      <c r="H54" s="104">
        <f>' STB_FS_квартально'!G32+' STB_FS_квартально'!H32</f>
        <v>-1249.0999999999999</v>
      </c>
      <c r="I54" s="105">
        <f>' STB_FS_квартально'!I32+' STB_FS_квартально'!J32</f>
        <v>-1554.4</v>
      </c>
      <c r="J54" s="105">
        <f>' STB_FS_квартально'!K32+' STB_FS_квартально'!L32</f>
        <v>-1818.4</v>
      </c>
      <c r="K54" s="105">
        <f>' STB_FS_квартально'!N32+' STB_FS_квартально'!M32</f>
        <v>-2171</v>
      </c>
      <c r="L54" s="93"/>
    </row>
    <row r="55" spans="1:14">
      <c r="B55" s="109" t="s">
        <v>41</v>
      </c>
      <c r="C55" s="112" t="s">
        <v>65</v>
      </c>
      <c r="D55" s="112"/>
      <c r="E55" s="104">
        <v>-142.70270270270271</v>
      </c>
      <c r="F55" s="104">
        <v>-121.29729729729729</v>
      </c>
      <c r="G55" s="104">
        <f>' STB_FS_квартально'!E33+' STB_FS_квартально'!F33</f>
        <v>-141.5</v>
      </c>
      <c r="H55" s="104">
        <f>' STB_FS_квартально'!G33+' STB_FS_квартально'!H33</f>
        <v>-130.69999999999999</v>
      </c>
      <c r="I55" s="105">
        <f>' STB_FS_квартально'!I33+' STB_FS_квартально'!J33</f>
        <v>-139.4</v>
      </c>
      <c r="J55" s="105">
        <f>' STB_FS_квартально'!K33+' STB_FS_квартально'!L33</f>
        <v>-140.10000000000002</v>
      </c>
      <c r="K55" s="105">
        <f>' STB_FS_квартально'!N33+' STB_FS_квартально'!M33</f>
        <v>-170</v>
      </c>
      <c r="L55" s="93"/>
    </row>
    <row r="56" spans="1:14">
      <c r="B56" s="109" t="s">
        <v>42</v>
      </c>
      <c r="C56" s="112" t="s">
        <v>65</v>
      </c>
      <c r="D56" s="112"/>
      <c r="E56" s="104">
        <v>-36.756756756756758</v>
      </c>
      <c r="F56" s="104">
        <v>-31.243243243243242</v>
      </c>
      <c r="G56" s="104">
        <f>' STB_FS_квартально'!E34+' STB_FS_квартально'!F34</f>
        <v>-19.600000000000001</v>
      </c>
      <c r="H56" s="104">
        <f>' STB_FS_квартально'!G34+' STB_FS_квартально'!H34</f>
        <v>-21.799999999999997</v>
      </c>
      <c r="I56" s="105">
        <f>' STB_FS_квартально'!I34+' STB_FS_квартально'!J34</f>
        <v>-24.799999999999997</v>
      </c>
      <c r="J56" s="105">
        <f>' STB_FS_квартально'!K34+' STB_FS_квартально'!L34</f>
        <v>-35.299999999999997</v>
      </c>
      <c r="K56" s="105">
        <f>' STB_FS_квартально'!N34+' STB_FS_квартально'!M34</f>
        <v>-25</v>
      </c>
      <c r="L56" s="93"/>
    </row>
    <row r="57" spans="1:14">
      <c r="B57" s="109" t="s">
        <v>11</v>
      </c>
      <c r="C57" s="112" t="s">
        <v>65</v>
      </c>
      <c r="D57" s="112"/>
      <c r="E57" s="104">
        <v>-142.70270270270271</v>
      </c>
      <c r="F57" s="104">
        <v>-121.29729729729729</v>
      </c>
      <c r="G57" s="104">
        <f>' STB_FS_квартально'!E35+' STB_FS_квартально'!F35</f>
        <v>-161.80000000000001</v>
      </c>
      <c r="H57" s="104">
        <f>' STB_FS_квартально'!G35+' STB_FS_квартально'!H35</f>
        <v>-176.9</v>
      </c>
      <c r="I57" s="105">
        <f>' STB_FS_квартально'!I35+' STB_FS_квартально'!J35</f>
        <v>-240.3</v>
      </c>
      <c r="J57" s="105">
        <f>' STB_FS_квартально'!K35+' STB_FS_квартально'!L35</f>
        <v>-240.60000000000002</v>
      </c>
      <c r="K57" s="105">
        <f>' STB_FS_квартально'!N35+' STB_FS_квартально'!M35</f>
        <v>-284.39999999999998</v>
      </c>
      <c r="L57" s="93"/>
    </row>
    <row r="58" spans="1:14">
      <c r="B58" s="109" t="s">
        <v>109</v>
      </c>
      <c r="C58" s="112"/>
      <c r="D58" s="112"/>
      <c r="E58" s="104">
        <v>-51.891891891891888</v>
      </c>
      <c r="F58" s="104">
        <v>-44.108108108108112</v>
      </c>
      <c r="G58" s="104">
        <f>' STB_FS_квартально'!E36+' STB_FS_квартально'!F36</f>
        <v>-22.799999999999997</v>
      </c>
      <c r="H58" s="104">
        <f>' STB_FS_квартально'!G36+' STB_FS_квартально'!H36</f>
        <v>-24.6</v>
      </c>
      <c r="I58" s="105">
        <f>' STB_FS_квартально'!I36+' STB_FS_квартально'!J36</f>
        <v>-25.1</v>
      </c>
      <c r="J58" s="105">
        <f>' STB_FS_квартально'!K36+' STB_FS_квартально'!L36</f>
        <v>-46.5</v>
      </c>
      <c r="K58" s="105">
        <f>' STB_FS_квартально'!N36+' STB_FS_квартально'!M36</f>
        <v>-28.8</v>
      </c>
      <c r="L58" s="93"/>
    </row>
    <row r="59" spans="1:14" s="74" customFormat="1" ht="13.15">
      <c r="B59" s="117" t="s">
        <v>57</v>
      </c>
      <c r="C59" s="118" t="s">
        <v>65</v>
      </c>
      <c r="D59" s="118"/>
      <c r="E59" s="119">
        <f>SUM(E51:E58)</f>
        <v>8.6486486486486314</v>
      </c>
      <c r="F59" s="119">
        <f>SUM(F51:F58)</f>
        <v>7.3513513513513686</v>
      </c>
      <c r="G59" s="119">
        <f>SUM(G51:G58)</f>
        <v>11.057000000000059</v>
      </c>
      <c r="H59" s="119">
        <f>SUM(H51:H58)</f>
        <v>-8.3709999999998743</v>
      </c>
      <c r="I59" s="119">
        <f t="shared" ref="I59:J59" si="11">SUM(I51:I58)</f>
        <v>-1.8270000000000906</v>
      </c>
      <c r="J59" s="119">
        <f t="shared" si="11"/>
        <v>-0.47399999999976217</v>
      </c>
      <c r="K59" s="105">
        <f>' STB_FS_квартально'!N37+' STB_FS_квартально'!M37</f>
        <v>59.500000000000043</v>
      </c>
      <c r="L59" s="100"/>
    </row>
    <row r="60" spans="1:14" ht="25.5">
      <c r="B60" s="109" t="s">
        <v>55</v>
      </c>
      <c r="C60" s="112" t="s">
        <v>65</v>
      </c>
      <c r="D60" s="112"/>
      <c r="E60" s="104"/>
      <c r="F60" s="104"/>
      <c r="G60" s="104">
        <f>' STB_FS_квартально'!E38+' STB_FS_квартально'!F38</f>
        <v>-2.927</v>
      </c>
      <c r="H60" s="104">
        <f>' STB_FS_квартально'!G38+' STB_FS_квартально'!H38</f>
        <v>-0.51</v>
      </c>
      <c r="I60" s="105">
        <f>' STB_FS_квартально'!I38+' STB_FS_квартально'!J38</f>
        <v>0</v>
      </c>
      <c r="J60" s="105">
        <f>' STB_FS_квартально'!K38+' STB_FS_квартально'!L38</f>
        <v>0</v>
      </c>
      <c r="K60" s="105">
        <f>' STB_FS_квартально'!N38+' STB_FS_квартально'!M38</f>
        <v>0</v>
      </c>
      <c r="L60" s="93"/>
    </row>
    <row r="61" spans="1:14" ht="25.5">
      <c r="B61" s="109" t="s">
        <v>56</v>
      </c>
      <c r="C61" s="112" t="s">
        <v>65</v>
      </c>
      <c r="D61" s="112"/>
      <c r="E61" s="104"/>
      <c r="F61" s="104"/>
      <c r="G61" s="104">
        <f>' STB_FS_квартально'!E39+' STB_FS_квартально'!F39</f>
        <v>0</v>
      </c>
      <c r="H61" s="104">
        <f>' STB_FS_квартально'!G39+' STB_FS_квартально'!H39</f>
        <v>0</v>
      </c>
      <c r="I61" s="105">
        <f>' STB_FS_квартально'!I39+' STB_FS_квартально'!J39</f>
        <v>0</v>
      </c>
      <c r="J61" s="105">
        <f>' STB_FS_квартально'!K39+' STB_FS_квартально'!L39</f>
        <v>0</v>
      </c>
      <c r="K61" s="105">
        <f>' STB_FS_квартально'!L39+' STB_FS_квартально'!M39</f>
        <v>0</v>
      </c>
      <c r="L61" s="93"/>
    </row>
    <row r="62" spans="1:14">
      <c r="B62" s="109" t="s">
        <v>58</v>
      </c>
      <c r="C62" s="112" t="s">
        <v>65</v>
      </c>
      <c r="D62" s="113"/>
      <c r="E62" s="104"/>
      <c r="F62" s="104"/>
      <c r="G62" s="104">
        <f>' STB_FS_квартально'!E40+' STB_FS_квартально'!F40</f>
        <v>0</v>
      </c>
      <c r="H62" s="104">
        <f>' STB_FS_квартально'!G40+' STB_FS_квартально'!H40</f>
        <v>0</v>
      </c>
      <c r="I62" s="105">
        <f>' STB_FS_квартально'!I40+' STB_FS_квартально'!J40</f>
        <v>0</v>
      </c>
      <c r="J62" s="105">
        <f>' STB_FS_квартально'!K40+' STB_FS_квартально'!L40</f>
        <v>0</v>
      </c>
      <c r="K62" s="105">
        <f>' STB_FS_квартально'!N40+' STB_FS_квартально'!M40</f>
        <v>0</v>
      </c>
      <c r="L62" s="93"/>
    </row>
    <row r="63" spans="1:14" ht="13.15">
      <c r="B63" s="109" t="s">
        <v>59</v>
      </c>
      <c r="C63" s="112" t="s">
        <v>65</v>
      </c>
      <c r="D63" s="114"/>
      <c r="E63" s="104"/>
      <c r="F63" s="104"/>
      <c r="G63" s="104">
        <f>' STB_FS_квартально'!E41+' STB_FS_квартально'!F41</f>
        <v>0</v>
      </c>
      <c r="H63" s="104">
        <f>' STB_FS_квартально'!G41+' STB_FS_квартально'!H41</f>
        <v>0</v>
      </c>
      <c r="I63" s="105">
        <f>' STB_FS_квартально'!I41+' STB_FS_квартально'!J41</f>
        <v>0</v>
      </c>
      <c r="J63" s="105">
        <f>' STB_FS_квартально'!K41+' STB_FS_квартально'!L41</f>
        <v>0</v>
      </c>
      <c r="K63" s="105">
        <f>' STB_FS_квартально'!N41+' STB_FS_квартально'!M41</f>
        <v>0</v>
      </c>
      <c r="L63" s="93"/>
    </row>
    <row r="64" spans="1:14">
      <c r="B64" s="109" t="s">
        <v>60</v>
      </c>
      <c r="C64" s="112" t="s">
        <v>65</v>
      </c>
      <c r="D64" s="112"/>
      <c r="E64" s="104"/>
      <c r="F64" s="104"/>
      <c r="G64" s="104">
        <f>' STB_FS_квартально'!E42+' STB_FS_квартально'!F42</f>
        <v>0</v>
      </c>
      <c r="H64" s="104">
        <f>' STB_FS_квартально'!G42+' STB_FS_квартально'!H42</f>
        <v>0</v>
      </c>
      <c r="I64" s="105">
        <f>' STB_FS_квартально'!I42+' STB_FS_квартально'!J42</f>
        <v>0</v>
      </c>
      <c r="J64" s="105">
        <f>' STB_FS_квартально'!K42+' STB_FS_квартально'!L42</f>
        <v>0</v>
      </c>
      <c r="K64" s="105">
        <f>' STB_FS_квартально'!N42+' STB_FS_квартально'!M42</f>
        <v>0</v>
      </c>
      <c r="L64" s="93"/>
    </row>
    <row r="65" spans="1:14">
      <c r="B65" s="120" t="s">
        <v>61</v>
      </c>
      <c r="C65" s="112" t="s">
        <v>65</v>
      </c>
      <c r="D65" s="112"/>
      <c r="E65" s="104"/>
      <c r="F65" s="104"/>
      <c r="G65" s="104">
        <f>' STB_FS_квартально'!E43+' STB_FS_квартально'!F43</f>
        <v>0</v>
      </c>
      <c r="H65" s="104">
        <f>' STB_FS_квартально'!G43+' STB_FS_квартально'!H43</f>
        <v>0</v>
      </c>
      <c r="I65" s="105">
        <f>' STB_FS_квартально'!I43+' STB_FS_квартально'!J43</f>
        <v>0</v>
      </c>
      <c r="J65" s="105">
        <f>' STB_FS_квартально'!K43+' STB_FS_квартально'!L43</f>
        <v>0</v>
      </c>
      <c r="K65" s="105">
        <f>' STB_FS_квартально'!N43+' STB_FS_квартально'!M43</f>
        <v>-15</v>
      </c>
      <c r="L65" s="93"/>
    </row>
    <row r="66" spans="1:14" ht="16.350000000000001" customHeight="1">
      <c r="B66" s="120" t="s">
        <v>148</v>
      </c>
      <c r="C66" s="112"/>
      <c r="D66" s="112"/>
      <c r="E66" s="104">
        <v>1.3</v>
      </c>
      <c r="F66" s="104">
        <f t="shared" ref="F66" si="12">E67</f>
        <v>9.9486486486486321</v>
      </c>
      <c r="G66" s="104">
        <f t="shared" ref="G66" si="13">F67</f>
        <v>17.3</v>
      </c>
      <c r="H66" s="104">
        <f t="shared" ref="H66" si="14">G67</f>
        <v>25.43000000000006</v>
      </c>
      <c r="I66" s="104">
        <f t="shared" ref="I66" si="15">H67</f>
        <v>16.549000000000184</v>
      </c>
      <c r="J66" s="104">
        <f>I67</f>
        <v>14.722000000000094</v>
      </c>
      <c r="K66" s="104">
        <f>J67</f>
        <v>14.248000000000332</v>
      </c>
      <c r="L66" s="93"/>
    </row>
    <row r="67" spans="1:14" ht="13.15">
      <c r="B67" s="115" t="s">
        <v>0</v>
      </c>
      <c r="C67" s="112" t="s">
        <v>65</v>
      </c>
      <c r="D67" s="112"/>
      <c r="E67" s="108">
        <f>E59+E66</f>
        <v>9.9486486486486321</v>
      </c>
      <c r="F67" s="108">
        <f>SUM(F59:F66)</f>
        <v>17.3</v>
      </c>
      <c r="G67" s="108">
        <f>SUM(G59:G66)</f>
        <v>25.43000000000006</v>
      </c>
      <c r="H67" s="108">
        <f>SUM(H59:H66)</f>
        <v>16.549000000000184</v>
      </c>
      <c r="I67" s="108">
        <f t="shared" ref="I67" si="16">SUM(I59:I66)</f>
        <v>14.722000000000094</v>
      </c>
      <c r="J67" s="108">
        <f>SUM(J59:J66)</f>
        <v>14.248000000000332</v>
      </c>
      <c r="K67" s="108">
        <f>SUM(K59:K66)</f>
        <v>58.748000000000374</v>
      </c>
      <c r="L67" s="93"/>
    </row>
    <row r="68" spans="1:14">
      <c r="B68" s="18"/>
      <c r="C68" s="9"/>
      <c r="D68" s="9"/>
    </row>
    <row r="69" spans="1:14" s="6" customFormat="1" ht="15.4" thickBot="1">
      <c r="A69" s="3" t="s">
        <v>76</v>
      </c>
      <c r="B69" s="50"/>
      <c r="C69" s="5" t="s">
        <v>20</v>
      </c>
      <c r="D69" s="5" t="s">
        <v>21</v>
      </c>
      <c r="E69" s="1" t="s">
        <v>78</v>
      </c>
      <c r="F69" s="2" t="s">
        <v>79</v>
      </c>
      <c r="G69" s="1" t="s">
        <v>80</v>
      </c>
      <c r="H69" s="2" t="s">
        <v>81</v>
      </c>
      <c r="I69" s="1" t="s">
        <v>161</v>
      </c>
      <c r="J69" s="2" t="s">
        <v>82</v>
      </c>
      <c r="K69" s="1"/>
      <c r="L69" s="2"/>
      <c r="M69" s="1"/>
      <c r="N69" s="2"/>
    </row>
    <row r="70" spans="1:14" ht="25.5">
      <c r="B70" s="51" t="s">
        <v>77</v>
      </c>
      <c r="C70" s="9" t="s">
        <v>75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 ht="13.15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 ht="13.15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 ht="13.15">
      <c r="C96" s="52"/>
      <c r="D96" s="52"/>
    </row>
    <row r="97" spans="3:4">
      <c r="C97" s="17"/>
      <c r="D97" s="17"/>
    </row>
    <row r="98" spans="3:4" ht="13.15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 ht="13.15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zoomScale="90" zoomScaleNormal="90" workbookViewId="0">
      <selection activeCell="N20" sqref="N20:N2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13" width="11.59765625" style="7" customWidth="1"/>
    <col min="14" max="16384" width="8" style="7"/>
  </cols>
  <sheetData>
    <row r="1" spans="1:24" s="6" customFormat="1" ht="15.75" customHeight="1" thickBot="1">
      <c r="A1" s="3" t="s">
        <v>69</v>
      </c>
      <c r="B1" s="4"/>
      <c r="C1" s="5" t="s">
        <v>20</v>
      </c>
      <c r="D1" s="5" t="s">
        <v>21</v>
      </c>
      <c r="E1" s="1" t="s">
        <v>16</v>
      </c>
      <c r="F1" s="69" t="s">
        <v>17</v>
      </c>
      <c r="G1" s="68" t="s">
        <v>18</v>
      </c>
      <c r="H1" s="69" t="s">
        <v>19</v>
      </c>
      <c r="I1" s="68" t="s">
        <v>73</v>
      </c>
      <c r="J1" s="69" t="s">
        <v>74</v>
      </c>
      <c r="K1" s="68" t="s">
        <v>71</v>
      </c>
      <c r="L1" s="69" t="s">
        <v>72</v>
      </c>
      <c r="M1" s="68" t="s">
        <v>158</v>
      </c>
      <c r="N1" s="68" t="s">
        <v>159</v>
      </c>
    </row>
    <row r="2" spans="1:24" ht="16.350000000000001" customHeight="1">
      <c r="B2" s="8" t="s">
        <v>98</v>
      </c>
      <c r="C2" s="9" t="s">
        <v>65</v>
      </c>
      <c r="D2" s="9"/>
      <c r="E2" s="62">
        <v>1012.6079999999999</v>
      </c>
      <c r="F2" s="62">
        <f>' STB_FS_полугодовой'!G2-' STB_FS_квартально'!E2</f>
        <v>832.62800000000016</v>
      </c>
      <c r="G2" s="62">
        <f>2747.15-E2-F2</f>
        <v>901.91399999999999</v>
      </c>
      <c r="H2" s="62">
        <f>' STB_FS_полугодовой'!H2-' STB_FS_квартально'!G2</f>
        <v>1005.02</v>
      </c>
      <c r="I2" s="62">
        <v>1253.3</v>
      </c>
      <c r="J2" s="62">
        <f>' STB_FS_полугодовой'!I2-' STB_FS_квартально'!I2</f>
        <v>1049.3900000000001</v>
      </c>
      <c r="K2" s="62">
        <f>3494.967-I2-J2</f>
        <v>1192.2770000000003</v>
      </c>
      <c r="L2" s="62">
        <f>' STB_FS_полугодовой'!J2-' STB_FS_квартально'!K2</f>
        <v>1394.5620000000001</v>
      </c>
      <c r="M2" s="62">
        <v>1463.1</v>
      </c>
      <c r="N2" s="62">
        <f>2944.666-M2</f>
        <v>1481.5660000000003</v>
      </c>
    </row>
    <row r="3" spans="1:24" ht="16.350000000000001" customHeight="1">
      <c r="B3" s="11" t="s">
        <v>99</v>
      </c>
      <c r="C3" s="9" t="s">
        <v>65</v>
      </c>
      <c r="D3" s="9"/>
      <c r="E3" s="62">
        <v>-790.28</v>
      </c>
      <c r="F3" s="62">
        <f>' STB_FS_полугодовой'!G3-' STB_FS_квартально'!E3</f>
        <v>-673.18000000000006</v>
      </c>
      <c r="G3" s="62">
        <f>-2181.3-E3-F3</f>
        <v>-717.84000000000015</v>
      </c>
      <c r="H3" s="62">
        <f>' STB_FS_полугодовой'!H3-' STB_FS_квартально'!G3</f>
        <v>-694.48999999999978</v>
      </c>
      <c r="I3" s="62">
        <v>-816.245</v>
      </c>
      <c r="J3" s="62">
        <f>' STB_FS_полугодовой'!I3-' STB_FS_квартально'!I3</f>
        <v>-718.1450000000001</v>
      </c>
      <c r="K3" s="62">
        <f>-2357.545-I3-J3</f>
        <v>-823.15500000000009</v>
      </c>
      <c r="L3" s="62">
        <f>' STB_FS_полугодовой'!J3-' STB_FS_квартально'!K3</f>
        <v>-826.21500000000003</v>
      </c>
      <c r="M3" s="62">
        <v>-919.5</v>
      </c>
      <c r="N3" s="62">
        <f>-1874.531-M3</f>
        <v>-955.03099999999995</v>
      </c>
    </row>
    <row r="4" spans="1:24" ht="16.350000000000001" customHeight="1">
      <c r="B4" s="47" t="s">
        <v>12</v>
      </c>
      <c r="C4" s="9" t="s">
        <v>65</v>
      </c>
      <c r="D4" s="9"/>
      <c r="E4" s="62">
        <f>SUM(E2:E3)</f>
        <v>222.32799999999997</v>
      </c>
      <c r="F4" s="62">
        <f t="shared" ref="F4:L4" si="0">SUM(F2:F3)</f>
        <v>159.44800000000009</v>
      </c>
      <c r="G4" s="62">
        <f t="shared" si="0"/>
        <v>184.07399999999984</v>
      </c>
      <c r="H4" s="62">
        <f t="shared" si="0"/>
        <v>310.5300000000002</v>
      </c>
      <c r="I4" s="62">
        <f t="shared" si="0"/>
        <v>437.05499999999995</v>
      </c>
      <c r="J4" s="62">
        <f t="shared" si="0"/>
        <v>331.245</v>
      </c>
      <c r="K4" s="62">
        <f t="shared" si="0"/>
        <v>369.12200000000018</v>
      </c>
      <c r="L4" s="62">
        <f t="shared" si="0"/>
        <v>568.34700000000009</v>
      </c>
      <c r="M4" s="62">
        <f t="shared" ref="M4:N4" si="1">SUM(M2:M3)</f>
        <v>543.59999999999991</v>
      </c>
      <c r="N4" s="62">
        <f t="shared" si="1"/>
        <v>526.53500000000031</v>
      </c>
    </row>
    <row r="5" spans="1:24" ht="16.350000000000001" customHeight="1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24" ht="16.350000000000001" customHeight="1">
      <c r="B6" s="11" t="s">
        <v>10</v>
      </c>
      <c r="C6" s="9" t="s">
        <v>65</v>
      </c>
      <c r="D6" s="9"/>
      <c r="E6" s="62">
        <v>-268.36500000000001</v>
      </c>
      <c r="F6" s="62">
        <f>' STB_FS_полугодовой'!G6-' STB_FS_квартально'!E6</f>
        <v>-191.11199999999997</v>
      </c>
      <c r="G6" s="62">
        <f>-615.592-E6-F6</f>
        <v>-156.11500000000001</v>
      </c>
      <c r="H6" s="62">
        <f>' STB_FS_полугодовой'!H6-' STB_FS_квартально'!G6</f>
        <v>-241.01900000000001</v>
      </c>
      <c r="I6" s="62">
        <v>-252.75899999999999</v>
      </c>
      <c r="J6" s="62">
        <f>' STB_FS_полугодовой'!I6-' STB_FS_квартально'!I6</f>
        <v>-318.41999999999996</v>
      </c>
      <c r="K6" s="62">
        <f>-906.561-I6-J6</f>
        <v>-335.38200000000006</v>
      </c>
      <c r="L6" s="62">
        <f>' STB_FS_полугодовой'!J6-' STB_FS_квартально'!K6</f>
        <v>-289.77300000000002</v>
      </c>
      <c r="M6" s="62">
        <f>-303.6-10.2</f>
        <v>-313.8</v>
      </c>
      <c r="N6" s="62">
        <f>-686.131-M6</f>
        <v>-372.33099999999996</v>
      </c>
    </row>
    <row r="7" spans="1:24" ht="16.350000000000001" customHeight="1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24" ht="16.350000000000001" customHeight="1">
      <c r="B8" s="11" t="s">
        <v>11</v>
      </c>
      <c r="C8" s="9" t="s">
        <v>65</v>
      </c>
      <c r="D8" s="9"/>
      <c r="E8" s="62"/>
      <c r="F8" s="62"/>
      <c r="G8" s="62"/>
      <c r="H8" s="62">
        <v>-36.567</v>
      </c>
      <c r="I8" s="62"/>
      <c r="J8" s="62"/>
      <c r="K8" s="62"/>
      <c r="L8" s="62">
        <f>' STB_FS_полугодовой'!J8</f>
        <v>-135.35</v>
      </c>
      <c r="M8" s="62"/>
      <c r="N8" s="62"/>
    </row>
    <row r="9" spans="1:24" ht="16.350000000000001" customHeight="1">
      <c r="B9" s="47" t="s">
        <v>67</v>
      </c>
      <c r="C9" s="9" t="s">
        <v>65</v>
      </c>
      <c r="D9" s="9"/>
      <c r="E9" s="62">
        <f>SUM(E4:E8)</f>
        <v>-46.037000000000035</v>
      </c>
      <c r="F9" s="62">
        <f t="shared" ref="F9:L9" si="2">SUM(F4:F8)</f>
        <v>-31.663999999999874</v>
      </c>
      <c r="G9" s="62">
        <f t="shared" si="2"/>
        <v>27.958999999999833</v>
      </c>
      <c r="H9" s="62">
        <f t="shared" si="2"/>
        <v>32.944000000000194</v>
      </c>
      <c r="I9" s="62">
        <f t="shared" si="2"/>
        <v>184.29599999999996</v>
      </c>
      <c r="J9" s="62">
        <f t="shared" si="2"/>
        <v>12.825000000000045</v>
      </c>
      <c r="K9" s="62">
        <f t="shared" si="2"/>
        <v>33.740000000000123</v>
      </c>
      <c r="L9" s="62">
        <f t="shared" si="2"/>
        <v>143.22400000000007</v>
      </c>
      <c r="M9" s="62">
        <f>SUM(M4:M8)</f>
        <v>229.7999999999999</v>
      </c>
      <c r="N9" s="62">
        <f>SUM(N4:N8)</f>
        <v>154.20400000000035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62</v>
      </c>
      <c r="B11" s="4"/>
      <c r="C11" s="5" t="s">
        <v>20</v>
      </c>
      <c r="D11" s="5" t="s">
        <v>21</v>
      </c>
      <c r="E11" s="1" t="s">
        <v>16</v>
      </c>
      <c r="F11" s="2" t="s">
        <v>17</v>
      </c>
      <c r="G11" s="1" t="s">
        <v>18</v>
      </c>
      <c r="H11" s="2" t="s">
        <v>19</v>
      </c>
      <c r="I11" s="1" t="s">
        <v>73</v>
      </c>
      <c r="J11" s="2" t="s">
        <v>74</v>
      </c>
      <c r="K11" s="1" t="s">
        <v>71</v>
      </c>
      <c r="L11" s="2" t="s">
        <v>72</v>
      </c>
      <c r="M11" s="68" t="s">
        <v>158</v>
      </c>
      <c r="N11" s="68" t="s">
        <v>159</v>
      </c>
    </row>
    <row r="12" spans="1:24" ht="16.350000000000001" customHeight="1">
      <c r="B12" s="84" t="s">
        <v>145</v>
      </c>
      <c r="C12" s="85" t="s">
        <v>65</v>
      </c>
      <c r="D12" s="85"/>
      <c r="E12" s="95">
        <v>33.917000000000002</v>
      </c>
      <c r="F12" s="95">
        <v>-29.673999999999999</v>
      </c>
      <c r="G12" s="95">
        <v>8.4139999999999979</v>
      </c>
      <c r="H12" s="95">
        <v>85.695000000000007</v>
      </c>
      <c r="I12" s="95">
        <v>75.793000000000006</v>
      </c>
      <c r="J12" s="95">
        <v>-41.323000000000008</v>
      </c>
      <c r="K12" s="95">
        <v>-31.715999999999994</v>
      </c>
      <c r="L12" s="95">
        <v>144.70400000000001</v>
      </c>
      <c r="M12" s="95">
        <v>11.7</v>
      </c>
      <c r="N12" s="95">
        <v>-50.28</v>
      </c>
    </row>
    <row r="13" spans="1:24" ht="16.350000000000001" customHeight="1">
      <c r="B13" s="84" t="s">
        <v>128</v>
      </c>
      <c r="C13" s="85" t="s">
        <v>65</v>
      </c>
      <c r="D13" s="85"/>
      <c r="E13" s="95">
        <v>74.536000000000001</v>
      </c>
      <c r="F13" s="95">
        <v>64.575999999999993</v>
      </c>
      <c r="G13" s="95">
        <v>22.058999999999997</v>
      </c>
      <c r="H13" s="95">
        <v>54.115000000000009</v>
      </c>
      <c r="I13" s="95">
        <v>65.269000000000005</v>
      </c>
      <c r="J13" s="95">
        <v>75.48599999999999</v>
      </c>
      <c r="K13" s="95">
        <v>-5.563999999999993</v>
      </c>
      <c r="L13" s="95">
        <v>84.63900000000001</v>
      </c>
      <c r="M13" s="95">
        <v>50.6</v>
      </c>
      <c r="N13" s="95">
        <v>95.300000000000011</v>
      </c>
    </row>
    <row r="14" spans="1:24" ht="16.350000000000001" customHeight="1">
      <c r="B14" s="84" t="s">
        <v>144</v>
      </c>
      <c r="C14" s="85" t="s">
        <v>65</v>
      </c>
      <c r="D14" s="85"/>
      <c r="E14" s="95">
        <v>20.134</v>
      </c>
      <c r="F14" s="95">
        <v>9.5109999999999992</v>
      </c>
      <c r="G14" s="95">
        <v>-1.7699999999999996</v>
      </c>
      <c r="H14" s="95">
        <v>25.915999999999997</v>
      </c>
      <c r="I14" s="95">
        <v>14.247999999999999</v>
      </c>
      <c r="J14" s="95">
        <v>8.4220000000000024</v>
      </c>
      <c r="K14" s="95">
        <v>-10.670000000000002</v>
      </c>
      <c r="L14" s="95">
        <v>24.988999999999997</v>
      </c>
      <c r="M14" s="95">
        <v>16</v>
      </c>
      <c r="N14" s="95">
        <v>63.33</v>
      </c>
    </row>
    <row r="15" spans="1:24" ht="16.350000000000001" customHeight="1">
      <c r="B15" s="84" t="s">
        <v>142</v>
      </c>
      <c r="C15" s="85" t="s">
        <v>65</v>
      </c>
      <c r="D15" s="85"/>
      <c r="E15" s="95">
        <v>-460.471</v>
      </c>
      <c r="F15" s="95">
        <v>41.069999999999993</v>
      </c>
      <c r="G15" s="95">
        <v>53.478000000000009</v>
      </c>
      <c r="H15" s="95">
        <v>419.71399999999994</v>
      </c>
      <c r="I15" s="95">
        <v>-1.149</v>
      </c>
      <c r="J15" s="95">
        <v>37.436</v>
      </c>
      <c r="K15" s="95">
        <v>47.806999999999995</v>
      </c>
      <c r="L15" s="95">
        <v>8.210000000000008</v>
      </c>
      <c r="M15" s="95">
        <v>7.2</v>
      </c>
      <c r="N15" s="95">
        <v>12</v>
      </c>
    </row>
    <row r="16" spans="1:24" ht="16.350000000000001" customHeight="1">
      <c r="B16" s="11" t="s">
        <v>64</v>
      </c>
      <c r="C16" s="9" t="s">
        <v>65</v>
      </c>
      <c r="D16" s="46"/>
      <c r="E16" s="95">
        <f>E17-SUM(E12:E15)</f>
        <v>71.923000000000002</v>
      </c>
      <c r="F16" s="95">
        <f t="shared" ref="F16:L16" si="3">F17-SUM(F12:F15)</f>
        <v>45.51700000000001</v>
      </c>
      <c r="G16" s="95">
        <f>G17-SUM(G12:G15)</f>
        <v>53.513999999999982</v>
      </c>
      <c r="H16" s="95">
        <f t="shared" si="3"/>
        <v>-434.73099999999994</v>
      </c>
      <c r="I16" s="95">
        <f t="shared" si="3"/>
        <v>54.39500000000001</v>
      </c>
      <c r="J16" s="95">
        <f t="shared" si="3"/>
        <v>54.479000000000013</v>
      </c>
      <c r="K16" s="95">
        <f t="shared" si="3"/>
        <v>45.634999999999984</v>
      </c>
      <c r="L16" s="95">
        <f t="shared" si="3"/>
        <v>-9.1440000000000339</v>
      </c>
      <c r="M16" s="95">
        <f>M17-SUM(M12:M15)</f>
        <v>96.5</v>
      </c>
      <c r="N16" s="95">
        <v>33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65</v>
      </c>
      <c r="D17" s="9"/>
      <c r="E17" s="96">
        <v>-259.96100000000001</v>
      </c>
      <c r="F17" s="96">
        <v>131</v>
      </c>
      <c r="G17" s="96">
        <v>135.69499999999999</v>
      </c>
      <c r="H17" s="96">
        <v>150.709</v>
      </c>
      <c r="I17" s="96">
        <v>208.55600000000001</v>
      </c>
      <c r="J17" s="96">
        <v>134.5</v>
      </c>
      <c r="K17" s="96">
        <v>45.49199999999999</v>
      </c>
      <c r="L17" s="96">
        <v>253.398</v>
      </c>
      <c r="M17" s="96">
        <v>182</v>
      </c>
      <c r="N17" s="96">
        <f>SUM(N12:N16)</f>
        <v>153.35000000000002</v>
      </c>
    </row>
    <row r="18" spans="1:24" ht="16.350000000000001" customHeight="1">
      <c r="B18" s="35"/>
      <c r="C18" s="9"/>
      <c r="D18" s="9"/>
      <c r="F18" s="7" t="s">
        <v>147</v>
      </c>
    </row>
    <row r="19" spans="1:24" s="6" customFormat="1" ht="15.75" customHeight="1" thickBot="1">
      <c r="A19" s="3" t="s">
        <v>63</v>
      </c>
      <c r="B19" s="4"/>
      <c r="C19" s="5" t="s">
        <v>20</v>
      </c>
      <c r="D19" s="5" t="s">
        <v>21</v>
      </c>
      <c r="E19" s="1" t="s">
        <v>16</v>
      </c>
      <c r="F19" s="2" t="s">
        <v>17</v>
      </c>
      <c r="G19" s="1" t="s">
        <v>18</v>
      </c>
      <c r="H19" s="2" t="s">
        <v>19</v>
      </c>
      <c r="I19" s="1" t="s">
        <v>73</v>
      </c>
      <c r="J19" s="2" t="s">
        <v>74</v>
      </c>
      <c r="K19" s="1" t="s">
        <v>71</v>
      </c>
      <c r="L19" s="2" t="s">
        <v>72</v>
      </c>
      <c r="M19" s="68" t="s">
        <v>158</v>
      </c>
      <c r="N19" s="68" t="s">
        <v>159</v>
      </c>
    </row>
    <row r="20" spans="1:24" ht="16.350000000000001" customHeight="1">
      <c r="B20" s="8" t="s">
        <v>154</v>
      </c>
      <c r="C20" s="9" t="s">
        <v>65</v>
      </c>
      <c r="D20" s="9"/>
      <c r="E20" s="101">
        <v>663</v>
      </c>
      <c r="F20" s="101">
        <v>739</v>
      </c>
      <c r="G20" s="101">
        <v>811</v>
      </c>
      <c r="H20" s="101">
        <v>856</v>
      </c>
      <c r="I20" s="102">
        <v>944</v>
      </c>
      <c r="J20" s="102">
        <v>1020</v>
      </c>
      <c r="K20" s="102">
        <v>1099</v>
      </c>
      <c r="L20" s="102">
        <v>1171</v>
      </c>
      <c r="M20" s="102">
        <v>1256.5</v>
      </c>
      <c r="N20" s="101">
        <v>1324.09</v>
      </c>
    </row>
    <row r="21" spans="1:24" ht="16.350000000000001" customHeight="1">
      <c r="B21" s="11" t="s">
        <v>153</v>
      </c>
      <c r="C21" s="9" t="s">
        <v>65</v>
      </c>
      <c r="D21" s="9"/>
      <c r="E21" s="101">
        <v>89</v>
      </c>
      <c r="F21" s="101">
        <v>167</v>
      </c>
      <c r="G21" s="101">
        <v>298</v>
      </c>
      <c r="H21" s="101">
        <v>308</v>
      </c>
      <c r="I21" s="102">
        <v>245</v>
      </c>
      <c r="J21" s="102">
        <v>209</v>
      </c>
      <c r="K21" s="102">
        <v>214</v>
      </c>
      <c r="L21" s="102">
        <v>117</v>
      </c>
      <c r="M21" s="102">
        <v>31.2</v>
      </c>
      <c r="N21" s="101">
        <v>-22.54</v>
      </c>
    </row>
    <row r="22" spans="1:24" ht="16.350000000000001" customHeight="1">
      <c r="B22" s="8" t="s">
        <v>155</v>
      </c>
      <c r="C22" s="9" t="s">
        <v>65</v>
      </c>
      <c r="D22" s="17"/>
      <c r="E22" s="101">
        <v>54</v>
      </c>
      <c r="F22" s="101">
        <v>17</v>
      </c>
      <c r="G22" s="101">
        <v>9.6</v>
      </c>
      <c r="H22" s="101">
        <v>9.6</v>
      </c>
      <c r="I22" s="101">
        <v>9.6</v>
      </c>
      <c r="J22" s="101">
        <v>9.6</v>
      </c>
      <c r="K22" s="101">
        <v>9.6</v>
      </c>
      <c r="L22" s="102">
        <v>8.4</v>
      </c>
      <c r="M22" s="101">
        <v>8.4</v>
      </c>
      <c r="N22" s="101">
        <v>8.41</v>
      </c>
    </row>
    <row r="23" spans="1:24" ht="16.350000000000001" customHeight="1">
      <c r="B23" s="8" t="s">
        <v>156</v>
      </c>
      <c r="C23" s="9" t="s">
        <v>65</v>
      </c>
      <c r="D23" s="46"/>
      <c r="E23" s="101">
        <v>16.3</v>
      </c>
      <c r="F23" s="101">
        <v>12.7</v>
      </c>
      <c r="G23" s="101">
        <v>12.7</v>
      </c>
      <c r="H23" s="101">
        <v>12.7</v>
      </c>
      <c r="I23" s="101">
        <v>5.2</v>
      </c>
      <c r="J23" s="101">
        <v>5.2</v>
      </c>
      <c r="K23" s="101">
        <v>4.7</v>
      </c>
      <c r="L23" s="101">
        <v>4.5</v>
      </c>
      <c r="M23" s="101">
        <v>8.1999999999999993</v>
      </c>
      <c r="N23" s="101">
        <v>12.308999999999999</v>
      </c>
    </row>
    <row r="24" spans="1:24" ht="16.350000000000001" customHeight="1">
      <c r="B24" s="8" t="s">
        <v>157</v>
      </c>
      <c r="C24" s="9" t="s">
        <v>65</v>
      </c>
      <c r="D24" s="46"/>
      <c r="E24" s="101">
        <v>4.5999999999999996</v>
      </c>
      <c r="F24" s="101">
        <v>4.9000000000000004</v>
      </c>
      <c r="G24" s="101">
        <v>4.4000000000000004</v>
      </c>
      <c r="H24" s="101">
        <v>4.0999999999999996</v>
      </c>
      <c r="I24" s="101">
        <v>4.0999999999999996</v>
      </c>
      <c r="J24" s="101">
        <v>4.0999999999999996</v>
      </c>
      <c r="K24" s="101">
        <v>4.0999999999999996</v>
      </c>
      <c r="L24" s="101">
        <v>2.1</v>
      </c>
      <c r="M24" s="101">
        <v>0.95699999999999996</v>
      </c>
      <c r="N24" s="101">
        <v>2.16</v>
      </c>
    </row>
    <row r="25" spans="1:24" ht="16.350000000000001" customHeight="1">
      <c r="B25" s="11" t="s">
        <v>64</v>
      </c>
      <c r="C25" s="9" t="s">
        <v>65</v>
      </c>
      <c r="D25" s="46"/>
      <c r="E25" s="101">
        <f>E26-E20-E21-E22-E23-E24</f>
        <v>249.1</v>
      </c>
      <c r="F25" s="101">
        <f t="shared" ref="F25:L25" si="4">F26-F20-F21-F22-F23-F24</f>
        <v>241.4</v>
      </c>
      <c r="G25" s="101">
        <f t="shared" si="4"/>
        <v>298.3</v>
      </c>
      <c r="H25" s="101">
        <f t="shared" si="4"/>
        <v>317.59999999999997</v>
      </c>
      <c r="I25" s="101">
        <f t="shared" si="4"/>
        <v>263.09999999999997</v>
      </c>
      <c r="J25" s="101">
        <f t="shared" si="4"/>
        <v>213.10000000000002</v>
      </c>
      <c r="K25" s="101">
        <f t="shared" si="4"/>
        <v>284.59999999999997</v>
      </c>
      <c r="L25" s="101">
        <f t="shared" si="4"/>
        <v>243</v>
      </c>
      <c r="M25" s="101">
        <f t="shared" ref="M25" si="5">M26-M20-M21-M22-M23-M24</f>
        <v>127.74300000000002</v>
      </c>
      <c r="N25" s="101">
        <v>133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65</v>
      </c>
      <c r="D26" s="9"/>
      <c r="E26" s="103">
        <v>1076</v>
      </c>
      <c r="F26" s="103">
        <v>1182</v>
      </c>
      <c r="G26" s="103">
        <v>1434</v>
      </c>
      <c r="H26" s="103">
        <v>1508</v>
      </c>
      <c r="I26" s="102">
        <v>1471</v>
      </c>
      <c r="J26" s="102">
        <v>1461</v>
      </c>
      <c r="K26" s="102">
        <v>1616</v>
      </c>
      <c r="L26" s="102">
        <v>1546</v>
      </c>
      <c r="M26" s="102">
        <v>1433</v>
      </c>
      <c r="N26" s="101">
        <f>SUM(N20:N25)</f>
        <v>1457.4290000000001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36</v>
      </c>
      <c r="B28" s="49"/>
      <c r="C28" s="5" t="s">
        <v>20</v>
      </c>
      <c r="D28" s="5" t="s">
        <v>21</v>
      </c>
      <c r="E28" s="1" t="s">
        <v>16</v>
      </c>
      <c r="F28" s="2" t="s">
        <v>17</v>
      </c>
      <c r="G28" s="1" t="s">
        <v>18</v>
      </c>
      <c r="H28" s="2" t="s">
        <v>19</v>
      </c>
      <c r="I28" s="1" t="s">
        <v>73</v>
      </c>
      <c r="J28" s="2" t="s">
        <v>74</v>
      </c>
      <c r="K28" s="1" t="s">
        <v>71</v>
      </c>
      <c r="L28" s="2" t="s">
        <v>72</v>
      </c>
      <c r="M28" s="68" t="s">
        <v>158</v>
      </c>
      <c r="N28" s="68" t="s">
        <v>159</v>
      </c>
    </row>
    <row r="29" spans="1:24" ht="16.350000000000001" customHeight="1">
      <c r="B29" s="8" t="s">
        <v>37</v>
      </c>
      <c r="C29" s="9" t="s">
        <v>65</v>
      </c>
      <c r="D29" s="9"/>
      <c r="E29" s="104">
        <v>1376</v>
      </c>
      <c r="F29" s="104">
        <v>756.1</v>
      </c>
      <c r="G29" s="104">
        <v>821.5</v>
      </c>
      <c r="H29" s="104">
        <v>898.9</v>
      </c>
      <c r="I29" s="105">
        <v>1109</v>
      </c>
      <c r="J29" s="105">
        <v>954.5</v>
      </c>
      <c r="K29" s="105">
        <v>1188.3</v>
      </c>
      <c r="L29" s="105">
        <v>1293.5</v>
      </c>
      <c r="M29" s="105">
        <v>1396.8</v>
      </c>
      <c r="N29" s="94">
        <f>2882-M29-16</f>
        <v>1469.2</v>
      </c>
      <c r="O29" s="94"/>
    </row>
    <row r="30" spans="1:24" ht="16.350000000000001" customHeight="1">
      <c r="B30" s="11" t="s">
        <v>38</v>
      </c>
      <c r="C30" s="9" t="s">
        <v>65</v>
      </c>
      <c r="D30" s="9"/>
      <c r="E30" s="104">
        <v>0.4</v>
      </c>
      <c r="F30" s="104"/>
      <c r="G30" s="104"/>
      <c r="H30" s="104"/>
      <c r="I30" s="105"/>
      <c r="J30" s="105"/>
      <c r="K30" s="105"/>
      <c r="L30" s="105"/>
      <c r="M30" s="105">
        <v>0.72</v>
      </c>
      <c r="N30" s="94">
        <v>0</v>
      </c>
      <c r="O30" s="94"/>
    </row>
    <row r="31" spans="1:24" ht="16.350000000000001" customHeight="1">
      <c r="B31" s="109" t="s">
        <v>39</v>
      </c>
      <c r="C31" s="9" t="s">
        <v>65</v>
      </c>
      <c r="D31" s="9"/>
      <c r="E31" s="104">
        <f>-22.9-14.4</f>
        <v>-37.299999999999997</v>
      </c>
      <c r="F31" s="104">
        <f>-17.9-3.143</f>
        <v>-21.042999999999999</v>
      </c>
      <c r="G31" s="104">
        <f>-40.7-45</f>
        <v>-85.7</v>
      </c>
      <c r="H31" s="104">
        <f>-23.5-16.471</f>
        <v>-39.971000000000004</v>
      </c>
      <c r="I31" s="105">
        <f>-30.7-10-7.4</f>
        <v>-48.1</v>
      </c>
      <c r="J31" s="105">
        <f>-23.6-9.627</f>
        <v>-33.227000000000004</v>
      </c>
      <c r="K31" s="105">
        <f>-115.3-15.804</f>
        <v>-131.10399999999998</v>
      </c>
      <c r="L31" s="105">
        <f>-54.3-15.97</f>
        <v>-70.27</v>
      </c>
      <c r="M31" s="105">
        <v>-90.019999999999897</v>
      </c>
      <c r="N31" s="94">
        <f>-128+90</f>
        <v>-38</v>
      </c>
      <c r="O31" s="94"/>
    </row>
    <row r="32" spans="1:24" ht="16.350000000000001" customHeight="1">
      <c r="B32" s="11" t="s">
        <v>40</v>
      </c>
      <c r="C32" s="9" t="s">
        <v>65</v>
      </c>
      <c r="D32" s="46"/>
      <c r="E32" s="104">
        <v>-1153.7</v>
      </c>
      <c r="F32" s="104">
        <v>-563.70000000000005</v>
      </c>
      <c r="G32" s="104">
        <v>-576.9</v>
      </c>
      <c r="H32" s="104">
        <v>-672.2</v>
      </c>
      <c r="I32" s="105">
        <v>-838.4</v>
      </c>
      <c r="J32" s="105">
        <v>-716</v>
      </c>
      <c r="K32" s="105">
        <v>-814.9</v>
      </c>
      <c r="L32" s="105">
        <v>-1003.5</v>
      </c>
      <c r="M32" s="105">
        <v>-1058.4000000000001</v>
      </c>
      <c r="N32" s="94">
        <f>-2171-M32</f>
        <v>-1112.5999999999999</v>
      </c>
      <c r="O32" s="94"/>
    </row>
    <row r="33" spans="2:15" ht="16.350000000000001" customHeight="1">
      <c r="B33" s="11" t="s">
        <v>41</v>
      </c>
      <c r="C33" s="9" t="s">
        <v>65</v>
      </c>
      <c r="D33" s="9"/>
      <c r="E33" s="104">
        <v>-75.3</v>
      </c>
      <c r="F33" s="104">
        <v>-66.2</v>
      </c>
      <c r="G33" s="104">
        <f>-63.6-4</f>
        <v>-67.599999999999994</v>
      </c>
      <c r="H33" s="104">
        <v>-63.1</v>
      </c>
      <c r="I33" s="105">
        <v>-69.2</v>
      </c>
      <c r="J33" s="105">
        <v>-70.2</v>
      </c>
      <c r="K33" s="105">
        <v>-70.7</v>
      </c>
      <c r="L33" s="105">
        <f>-69.4</f>
        <v>-69.400000000000006</v>
      </c>
      <c r="M33" s="105">
        <v>-83.7</v>
      </c>
      <c r="N33" s="94">
        <f>-170-M33</f>
        <v>-86.3</v>
      </c>
      <c r="O33" s="94"/>
    </row>
    <row r="34" spans="2:15" ht="16.350000000000001" customHeight="1">
      <c r="B34" s="11" t="s">
        <v>42</v>
      </c>
      <c r="C34" s="9" t="s">
        <v>65</v>
      </c>
      <c r="D34" s="9"/>
      <c r="E34" s="104">
        <v>-10.9</v>
      </c>
      <c r="F34" s="104">
        <f>-4.7-4</f>
        <v>-8.6999999999999993</v>
      </c>
      <c r="G34" s="104">
        <f>-5.2-6</f>
        <v>-11.2</v>
      </c>
      <c r="H34" s="104">
        <f>-4.6-6</f>
        <v>-10.6</v>
      </c>
      <c r="I34" s="105">
        <f>-5.2-9</f>
        <v>-14.2</v>
      </c>
      <c r="J34" s="105">
        <v>-10.6</v>
      </c>
      <c r="K34" s="105">
        <f>-10.3-7</f>
        <v>-17.3</v>
      </c>
      <c r="L34" s="105">
        <f>-11-7</f>
        <v>-18</v>
      </c>
      <c r="M34" s="105">
        <v>-18.2</v>
      </c>
      <c r="N34" s="94">
        <f>-25-M34</f>
        <v>-6.8000000000000007</v>
      </c>
      <c r="O34" s="94"/>
    </row>
    <row r="35" spans="2:15" ht="16.350000000000001" customHeight="1">
      <c r="B35" s="11" t="s">
        <v>11</v>
      </c>
      <c r="C35" s="9" t="s">
        <v>65</v>
      </c>
      <c r="D35" s="92"/>
      <c r="E35" s="106">
        <v>-80.2</v>
      </c>
      <c r="F35" s="104">
        <v>-81.599999999999994</v>
      </c>
      <c r="G35" s="104">
        <v>-77.900000000000006</v>
      </c>
      <c r="H35" s="104">
        <v>-99</v>
      </c>
      <c r="I35" s="105">
        <v>-132.30000000000001</v>
      </c>
      <c r="J35" s="105">
        <v>-108</v>
      </c>
      <c r="K35" s="105">
        <v>-118.2</v>
      </c>
      <c r="L35" s="105">
        <v>-122.4</v>
      </c>
      <c r="M35" s="105">
        <v>-143.4</v>
      </c>
      <c r="N35" s="94">
        <f>-284+143</f>
        <v>-141</v>
      </c>
      <c r="O35" s="94"/>
    </row>
    <row r="36" spans="2:15">
      <c r="B36" s="11" t="s">
        <v>109</v>
      </c>
      <c r="C36" s="9"/>
      <c r="D36" s="9"/>
      <c r="E36" s="104">
        <v>-5.4</v>
      </c>
      <c r="F36" s="104">
        <f>-18.7+1.3</f>
        <v>-17.399999999999999</v>
      </c>
      <c r="G36" s="104">
        <f>-5-9</f>
        <v>-14</v>
      </c>
      <c r="H36" s="104">
        <v>-10.6</v>
      </c>
      <c r="I36" s="105">
        <f>+-5.8-6</f>
        <v>-11.8</v>
      </c>
      <c r="J36" s="105">
        <f>-7.3-6</f>
        <v>-13.3</v>
      </c>
      <c r="K36" s="105">
        <f>-8.6-9</f>
        <v>-17.600000000000001</v>
      </c>
      <c r="L36" s="104">
        <v>-28.9</v>
      </c>
      <c r="M36" s="105">
        <v>-3.8</v>
      </c>
      <c r="N36" s="94">
        <f>-29+4</f>
        <v>-25</v>
      </c>
      <c r="O36" s="94"/>
    </row>
    <row r="37" spans="2:15" ht="16.350000000000001" customHeight="1">
      <c r="B37" s="11" t="s">
        <v>57</v>
      </c>
      <c r="C37" s="9" t="s">
        <v>65</v>
      </c>
      <c r="D37" s="9"/>
      <c r="E37" s="104">
        <f>SUM(E29:E36)</f>
        <v>13.600000000000085</v>
      </c>
      <c r="F37" s="107">
        <f t="shared" ref="F37:L37" si="6">SUM(F29:F36)</f>
        <v>-2.5430000000000277</v>
      </c>
      <c r="G37" s="104">
        <f t="shared" si="6"/>
        <v>-11.800000000000026</v>
      </c>
      <c r="H37" s="104">
        <f t="shared" si="6"/>
        <v>3.4289999999999399</v>
      </c>
      <c r="I37" s="104">
        <f t="shared" si="6"/>
        <v>-4.9999999999998757</v>
      </c>
      <c r="J37" s="104">
        <f t="shared" si="6"/>
        <v>3.1730000000000409</v>
      </c>
      <c r="K37" s="104">
        <f t="shared" si="6"/>
        <v>18.495999999999931</v>
      </c>
      <c r="L37" s="104">
        <f t="shared" si="6"/>
        <v>-18.969999999999992</v>
      </c>
      <c r="M37" s="104">
        <f>SUM(M29:M36)</f>
        <v>-7.3718808835110394E-14</v>
      </c>
      <c r="N37" s="104">
        <f>SUM(N29:N36)</f>
        <v>59.500000000000114</v>
      </c>
      <c r="O37" s="94"/>
    </row>
    <row r="38" spans="2:15" ht="25.5">
      <c r="B38" s="11" t="s">
        <v>55</v>
      </c>
      <c r="C38" s="9" t="s">
        <v>65</v>
      </c>
      <c r="D38" s="9"/>
      <c r="E38" s="104">
        <v>-3.2</v>
      </c>
      <c r="F38" s="104">
        <v>0.27300000000000002</v>
      </c>
      <c r="G38" s="104">
        <v>-0.51</v>
      </c>
      <c r="H38" s="104"/>
      <c r="I38" s="105"/>
      <c r="J38" s="105"/>
      <c r="K38" s="105"/>
      <c r="L38" s="105"/>
      <c r="M38" s="105"/>
      <c r="N38" s="94"/>
    </row>
    <row r="39" spans="2:15" ht="25.5">
      <c r="B39" s="11" t="s">
        <v>56</v>
      </c>
      <c r="C39" s="9" t="s">
        <v>65</v>
      </c>
      <c r="D39" s="9"/>
      <c r="E39" s="104"/>
      <c r="F39" s="104"/>
      <c r="G39" s="104"/>
      <c r="H39" s="104"/>
      <c r="I39" s="105"/>
      <c r="J39" s="105"/>
      <c r="K39" s="105"/>
      <c r="L39" s="105"/>
      <c r="M39" s="105"/>
      <c r="N39" s="94"/>
    </row>
    <row r="40" spans="2:15" ht="16.350000000000001" customHeight="1">
      <c r="B40" s="11" t="s">
        <v>58</v>
      </c>
      <c r="C40" s="9" t="s">
        <v>65</v>
      </c>
      <c r="D40" s="17"/>
      <c r="E40" s="104"/>
      <c r="F40" s="104"/>
      <c r="G40" s="104"/>
      <c r="H40" s="104"/>
      <c r="I40" s="105"/>
      <c r="J40" s="105"/>
      <c r="K40" s="105"/>
      <c r="L40" s="105"/>
      <c r="M40" s="105"/>
      <c r="N40" s="94"/>
    </row>
    <row r="41" spans="2:15" ht="16.350000000000001" customHeight="1">
      <c r="B41" s="11" t="s">
        <v>59</v>
      </c>
      <c r="C41" s="9" t="s">
        <v>65</v>
      </c>
      <c r="D41" s="46"/>
      <c r="E41" s="104"/>
      <c r="F41" s="104"/>
      <c r="G41" s="104"/>
      <c r="H41" s="104"/>
      <c r="I41" s="105"/>
      <c r="J41" s="105"/>
      <c r="K41" s="105"/>
      <c r="L41" s="105"/>
      <c r="M41" s="105"/>
      <c r="N41" s="94"/>
    </row>
    <row r="42" spans="2:15" ht="16.350000000000001" customHeight="1">
      <c r="B42" s="11" t="s">
        <v>60</v>
      </c>
      <c r="C42" s="9" t="s">
        <v>65</v>
      </c>
      <c r="D42" s="9"/>
      <c r="E42" s="104"/>
      <c r="F42" s="104"/>
      <c r="G42" s="104"/>
      <c r="H42" s="104"/>
      <c r="I42" s="105"/>
      <c r="J42" s="105"/>
      <c r="K42" s="105"/>
      <c r="L42" s="105"/>
      <c r="M42" s="105"/>
      <c r="N42" s="94"/>
    </row>
    <row r="43" spans="2:15" ht="16.350000000000001" customHeight="1">
      <c r="B43" s="40" t="s">
        <v>61</v>
      </c>
      <c r="C43" s="9" t="s">
        <v>65</v>
      </c>
      <c r="D43" s="9"/>
      <c r="E43" s="104"/>
      <c r="F43" s="104"/>
      <c r="G43" s="104"/>
      <c r="H43" s="104"/>
      <c r="I43" s="105"/>
      <c r="J43" s="105"/>
      <c r="K43" s="105"/>
      <c r="L43" s="105"/>
      <c r="M43" s="105"/>
      <c r="N43" s="94">
        <v>-15</v>
      </c>
    </row>
    <row r="44" spans="2:15" ht="16.350000000000001" customHeight="1">
      <c r="B44" s="40" t="s">
        <v>148</v>
      </c>
      <c r="C44" s="9"/>
      <c r="D44" s="9"/>
      <c r="E44" s="104">
        <v>15.243</v>
      </c>
      <c r="F44" s="104">
        <f>E45</f>
        <v>25.643000000000086</v>
      </c>
      <c r="G44" s="104">
        <f>F45</f>
        <v>23.373000000000058</v>
      </c>
      <c r="H44" s="104">
        <f t="shared" ref="H44:J44" si="7">G45</f>
        <v>11.063000000000033</v>
      </c>
      <c r="I44" s="104">
        <f t="shared" si="7"/>
        <v>14.491999999999972</v>
      </c>
      <c r="J44" s="104">
        <f t="shared" si="7"/>
        <v>9.4920000000000968</v>
      </c>
      <c r="K44" s="104">
        <f>J45</f>
        <v>12.665000000000138</v>
      </c>
      <c r="L44" s="104">
        <f>K45</f>
        <v>31.161000000000069</v>
      </c>
      <c r="M44" s="104">
        <f>L45</f>
        <v>12.191000000000077</v>
      </c>
      <c r="N44" s="94">
        <f>M45</f>
        <v>12.191000000000003</v>
      </c>
    </row>
    <row r="45" spans="2:15" ht="16.350000000000001" customHeight="1">
      <c r="B45" s="14" t="s">
        <v>0</v>
      </c>
      <c r="C45" s="9" t="s">
        <v>65</v>
      </c>
      <c r="D45" s="9"/>
      <c r="E45" s="108">
        <f>SUM(E37:E44)</f>
        <v>25.643000000000086</v>
      </c>
      <c r="F45" s="108">
        <f>SUM(F37:F44)</f>
        <v>23.373000000000058</v>
      </c>
      <c r="G45" s="108">
        <f t="shared" ref="G45:K45" si="8">SUM(G37:G44)</f>
        <v>11.063000000000033</v>
      </c>
      <c r="H45" s="108">
        <f t="shared" si="8"/>
        <v>14.491999999999972</v>
      </c>
      <c r="I45" s="108">
        <f t="shared" si="8"/>
        <v>9.4920000000000968</v>
      </c>
      <c r="J45" s="108">
        <f t="shared" si="8"/>
        <v>12.665000000000138</v>
      </c>
      <c r="K45" s="108">
        <f t="shared" si="8"/>
        <v>31.161000000000069</v>
      </c>
      <c r="L45" s="108">
        <f>SUM(L37:L44)</f>
        <v>12.191000000000077</v>
      </c>
      <c r="M45" s="108">
        <f>SUM(M37:M44)</f>
        <v>12.191000000000003</v>
      </c>
      <c r="N45" s="108">
        <f>SUM(N37:N44)</f>
        <v>56.691000000000116</v>
      </c>
    </row>
    <row r="46" spans="2:15" ht="16.350000000000001" customHeight="1">
      <c r="B46" s="18"/>
      <c r="C46" s="9"/>
      <c r="D46" s="9"/>
      <c r="E46" s="94"/>
      <c r="F46" s="94"/>
      <c r="G46" s="94"/>
      <c r="H46" s="94"/>
      <c r="I46" s="94"/>
      <c r="J46" s="94"/>
      <c r="K46" s="94"/>
      <c r="L46" s="94"/>
      <c r="M46" s="94"/>
    </row>
    <row r="47" spans="2:15" ht="16.350000000000001" customHeight="1">
      <c r="B47" s="18"/>
      <c r="C47" s="9"/>
      <c r="D47" s="9"/>
      <c r="E47" s="97"/>
      <c r="F47" s="97"/>
      <c r="G47" s="97"/>
      <c r="H47" s="97"/>
      <c r="I47" s="97"/>
      <c r="J47" s="97"/>
      <c r="K47" s="97"/>
      <c r="L47" s="97"/>
      <c r="M47" s="97"/>
    </row>
    <row r="48" spans="2:15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 ht="13.15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 ht="13.15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 ht="13.15">
      <c r="C74" s="52"/>
      <c r="D74" s="52"/>
    </row>
    <row r="75" spans="3:4">
      <c r="C75" s="17"/>
      <c r="D75" s="17"/>
    </row>
    <row r="76" spans="3:4" ht="13.15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 ht="13.15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Физический_годовой</vt:lpstr>
      <vt:lpstr> Физический_ежеквартальный</vt:lpstr>
      <vt:lpstr> Физический_ежемесячный</vt:lpstr>
      <vt:lpstr> Коммерческий_ежегодный</vt:lpstr>
      <vt:lpstr> Коммерческий_ежеквартальный</vt:lpstr>
      <vt:lpstr> Коммерческий_ежемесячно</vt:lpstr>
      <vt:lpstr> STB_FS_годовой</vt:lpstr>
      <vt:lpstr> STB_FS_полугодовой</vt:lpstr>
      <vt:lpstr> STB_FS_квартально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HUAWEI</cp:lastModifiedBy>
  <cp:lastPrinted>2025-04-25T06:34:04Z</cp:lastPrinted>
  <dcterms:created xsi:type="dcterms:W3CDTF">2023-12-04T18:42:25Z</dcterms:created>
  <dcterms:modified xsi:type="dcterms:W3CDTF">2025-10-11T11:18:56Z</dcterms:modified>
</cp:coreProperties>
</file>