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B\World Bank\"/>
    </mc:Choice>
  </mc:AlternateContent>
  <xr:revisionPtr revIDLastSave="0" documentId="8_{5AC8089C-A2E5-4CC1-8D1E-1F1E60C25356}" xr6:coauthVersionLast="47" xr6:coauthVersionMax="47" xr10:uidLastSave="{00000000-0000-0000-0000-000000000000}"/>
  <bookViews>
    <workbookView xWindow="46680" yWindow="-120" windowWidth="29040" windowHeight="15720" tabRatio="931" firstSheet="1" activeTab="8" xr2:uid="{00000000-000D-0000-FFFF-FFFF00000000}"/>
  </bookViews>
  <sheets>
    <sheet name=" Physical_annual" sheetId="67" r:id="rId1"/>
    <sheet name=" Physical_quarterly" sheetId="68" r:id="rId2"/>
    <sheet name=" Physical_monthly" sheetId="69" r:id="rId3"/>
    <sheet name="Commercial_annual" sheetId="63" r:id="rId4"/>
    <sheet name=" Commercial_Quarterly" sheetId="70" r:id="rId5"/>
    <sheet name=" Commercial_monthly" sheetId="71" r:id="rId6"/>
    <sheet name=" STB_FS_annual" sheetId="22" r:id="rId7"/>
    <sheet name=" STB_FS_semi-annual" sheetId="60" r:id="rId8"/>
    <sheet name=" STB_FS_quarterly" sheetId="35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56.9" localSheetId="0">#REF!</definedName>
    <definedName name="_56.9" localSheetId="2">#REF!</definedName>
    <definedName name="_56.9" localSheetId="1">#REF!</definedName>
    <definedName name="_56.9">#REF!</definedName>
    <definedName name="aa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ort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ort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ort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ort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c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c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c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asdfasfa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asdfasfa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asdfasfa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asdfasf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fs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fs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fs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fs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sadf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sadf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sadf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sa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asdf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asdf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asdf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as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adfas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adfas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adfas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adfas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af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af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af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a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f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f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f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fs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fs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fs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fs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hbvgkvhvgh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hbvgkvhvgh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hbvgkvhvgh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hbvgkvhvgh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.2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.2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.2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.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diagr10.2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diagr10.2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diagr10.2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diagr10.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language">[1]Innehåll!#REF!</definedName>
    <definedName name="mödkfgalödkgakldfng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mödkfgalödkgakldfng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mödkfgalödkgakldfng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mödkfgalödkgakldfng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NyDiag2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NyDiag2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NyDiag2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NyDiag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oi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oi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oi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oi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_xlnm.Print_Area" localSheetId="5">[7]Commercial_monthly!$B$11:$B$86</definedName>
    <definedName name="_xlnm.Print_Area" localSheetId="0">[8]Physical_annual!$B$6:$B$17</definedName>
    <definedName name="_xlnm.Print_Area" localSheetId="2">[10]Physical_monthly!$B$6:$B$17</definedName>
    <definedName name="_xlnm.Print_Area" localSheetId="1">[9]Physical_quarterly!$B$6:$B$17</definedName>
    <definedName name="_xlnm.Print_Area" localSheetId="6">[3]STB_FS_annual!$B$1:$B$84</definedName>
    <definedName name="_xlnm.Print_Area" localSheetId="8">[4]STB_FS_quarterly!$B$1:$B$51</definedName>
    <definedName name="_xlnm.Print_Area" localSheetId="7">[5]STB_FS_semiannual!$B$1:$B$73</definedName>
    <definedName name="_xlnm.Print_Area" localSheetId="3">[6]Commercial_annual!$B$11:$B$86</definedName>
    <definedName name="s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df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df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df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NI10.12_livs">[2]ind!$D$66:$BB$82</definedName>
    <definedName name="SNI13.15_textil">[2]ind!$D$84:$BB$100</definedName>
    <definedName name="SNI16_trävaru">[2]ind!$D$102:$BB$118</definedName>
    <definedName name="SNI17_mapa">[2]ind!$D$120:$BB$136</definedName>
    <definedName name="SNI18_grafisk">[2]ind!$D$138:$BB$154</definedName>
    <definedName name="SNI20_kemi">[2]ind!$D$156:$BB$172</definedName>
    <definedName name="SNI21_läkemedel">[2]ind!$D$174:$BB$190</definedName>
    <definedName name="SNI22_gummi">[2]ind!$D$192:$BB$208</definedName>
    <definedName name="SNI23_jordsten">[2]ind!$D$210:$BB$226</definedName>
    <definedName name="SNI241.243_järnstål">[2]ind!$D$228:$BB$244</definedName>
    <definedName name="SNI244.245_metall">[2]ind!$D$246:$BB$262</definedName>
    <definedName name="SNI25.30_verkstad">[2]ind!$D$264:$BB$280</definedName>
    <definedName name="SNI31.33_övrigt">[2]ind!$D$282:$BB$298</definedName>
    <definedName name="SNI5.9_gruv">[2]ind!$D$48:$BB$64</definedName>
    <definedName name="SNIsmå">[2]ind!$D$300:$BB$316</definedName>
    <definedName name="språk">[1]Innehåll!#REF!</definedName>
    <definedName name="test">[1]Innehåll!#REF!</definedName>
    <definedName name="vafan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afan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afan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afan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4" i="35" l="1"/>
  <c r="O37" i="35"/>
  <c r="O45" i="35" s="1"/>
  <c r="E9" i="35" l="1"/>
  <c r="L34" i="35"/>
  <c r="O26" i="35"/>
  <c r="O17" i="35"/>
  <c r="O6" i="35" l="1"/>
  <c r="O3" i="35"/>
  <c r="O2" i="35"/>
  <c r="O4" i="35" l="1"/>
  <c r="O9" i="35" s="1"/>
  <c r="O19" i="68"/>
  <c r="O8" i="68"/>
  <c r="O9" i="68"/>
  <c r="O10" i="68"/>
  <c r="O11" i="68"/>
  <c r="O12" i="68"/>
  <c r="O13" i="68"/>
  <c r="O14" i="68"/>
  <c r="O15" i="68"/>
  <c r="O16" i="68"/>
  <c r="O17" i="68"/>
  <c r="O18" i="68"/>
  <c r="O7" i="68"/>
  <c r="O4" i="68"/>
  <c r="O3" i="68"/>
  <c r="O2" i="68"/>
  <c r="N2" i="68"/>
  <c r="AI19" i="69"/>
  <c r="AJ19" i="69"/>
  <c r="AK19" i="69"/>
  <c r="AI4" i="69"/>
  <c r="AJ4" i="69"/>
  <c r="AK4" i="69"/>
  <c r="O51" i="70" l="1"/>
  <c r="O66" i="70"/>
  <c r="O111" i="70"/>
  <c r="O109" i="70"/>
  <c r="O100" i="70"/>
  <c r="O101" i="70"/>
  <c r="O102" i="70"/>
  <c r="O103" i="70"/>
  <c r="O104" i="70"/>
  <c r="O105" i="70"/>
  <c r="O106" i="70"/>
  <c r="O107" i="70"/>
  <c r="O108" i="70"/>
  <c r="O110" i="70"/>
  <c r="O99" i="70" l="1"/>
  <c r="O69" i="70"/>
  <c r="O70" i="70"/>
  <c r="O71" i="70"/>
  <c r="O72" i="70"/>
  <c r="O73" i="70"/>
  <c r="O74" i="70"/>
  <c r="O75" i="70"/>
  <c r="O76" i="70"/>
  <c r="O77" i="70"/>
  <c r="O78" i="70"/>
  <c r="O79" i="70"/>
  <c r="O81" i="70"/>
  <c r="O55" i="70"/>
  <c r="O56" i="70"/>
  <c r="O57" i="70"/>
  <c r="O58" i="70"/>
  <c r="O59" i="70"/>
  <c r="O60" i="70"/>
  <c r="O61" i="70"/>
  <c r="O62" i="70"/>
  <c r="O63" i="70"/>
  <c r="O64" i="70"/>
  <c r="O54" i="70"/>
  <c r="O40" i="70"/>
  <c r="O41" i="70"/>
  <c r="O42" i="70"/>
  <c r="O43" i="70"/>
  <c r="O44" i="70"/>
  <c r="O45" i="70"/>
  <c r="O46" i="70"/>
  <c r="O47" i="70"/>
  <c r="O48" i="70"/>
  <c r="O49" i="70"/>
  <c r="O39" i="70"/>
  <c r="O17" i="70" s="1"/>
  <c r="O2" i="70"/>
  <c r="AJ2" i="71"/>
  <c r="AK2" i="71"/>
  <c r="AI69" i="71"/>
  <c r="AJ54" i="71"/>
  <c r="AK112" i="71"/>
  <c r="AJ112" i="71"/>
  <c r="AI112" i="71"/>
  <c r="AK111" i="71"/>
  <c r="AJ111" i="71"/>
  <c r="AI111" i="71"/>
  <c r="AK110" i="71"/>
  <c r="AJ110" i="71"/>
  <c r="AI110" i="71"/>
  <c r="AK109" i="71"/>
  <c r="AJ109" i="71"/>
  <c r="AI109" i="71"/>
  <c r="AK108" i="71"/>
  <c r="AJ108" i="71"/>
  <c r="AI108" i="71"/>
  <c r="AK107" i="71"/>
  <c r="AJ107" i="71"/>
  <c r="AI107" i="71"/>
  <c r="AK106" i="71"/>
  <c r="AJ106" i="71"/>
  <c r="AI106" i="71"/>
  <c r="AK105" i="71"/>
  <c r="AJ105" i="71"/>
  <c r="AI105" i="71"/>
  <c r="AK104" i="71"/>
  <c r="AJ104" i="71"/>
  <c r="AI104" i="71"/>
  <c r="AK103" i="71"/>
  <c r="AJ103" i="71"/>
  <c r="AI103" i="71"/>
  <c r="AK102" i="71"/>
  <c r="AK114" i="71" s="1"/>
  <c r="AJ102" i="71"/>
  <c r="AJ114" i="71" s="1"/>
  <c r="AI102" i="71"/>
  <c r="AK82" i="71"/>
  <c r="AJ82" i="71"/>
  <c r="AI82" i="71"/>
  <c r="AK81" i="71"/>
  <c r="AJ81" i="71"/>
  <c r="AI81" i="71"/>
  <c r="AK80" i="71"/>
  <c r="AJ80" i="71"/>
  <c r="AI80" i="71"/>
  <c r="AK79" i="71"/>
  <c r="AJ79" i="71"/>
  <c r="AI79" i="71"/>
  <c r="AK78" i="71"/>
  <c r="AJ78" i="71"/>
  <c r="AI78" i="71"/>
  <c r="AK77" i="71"/>
  <c r="AJ77" i="71"/>
  <c r="AI77" i="71"/>
  <c r="AK76" i="71"/>
  <c r="AJ76" i="71"/>
  <c r="AI76" i="71"/>
  <c r="AK75" i="71"/>
  <c r="AJ75" i="71"/>
  <c r="AI75" i="71"/>
  <c r="AK74" i="71"/>
  <c r="AJ74" i="71"/>
  <c r="AI74" i="71"/>
  <c r="AK73" i="71"/>
  <c r="AJ73" i="71"/>
  <c r="AI73" i="71"/>
  <c r="AK72" i="71"/>
  <c r="AJ72" i="71"/>
  <c r="AI72" i="71"/>
  <c r="AK69" i="71"/>
  <c r="AJ69" i="71"/>
  <c r="AK54" i="71"/>
  <c r="AI54" i="71"/>
  <c r="AK26" i="71"/>
  <c r="AJ26" i="71"/>
  <c r="AK17" i="71"/>
  <c r="AK12" i="71"/>
  <c r="AK27" i="71" s="1"/>
  <c r="AJ12" i="71"/>
  <c r="AJ27" i="71" s="1"/>
  <c r="AI12" i="71"/>
  <c r="AI27" i="71" s="1"/>
  <c r="AK11" i="71"/>
  <c r="AJ11" i="71"/>
  <c r="AI11" i="71"/>
  <c r="AI26" i="71" s="1"/>
  <c r="AK10" i="71"/>
  <c r="AK25" i="71" s="1"/>
  <c r="AJ10" i="71"/>
  <c r="AJ25" i="71" s="1"/>
  <c r="AI10" i="71"/>
  <c r="AI25" i="71" s="1"/>
  <c r="AK9" i="71"/>
  <c r="AK24" i="71" s="1"/>
  <c r="AJ9" i="71"/>
  <c r="AJ24" i="71" s="1"/>
  <c r="AI9" i="71"/>
  <c r="AI24" i="71" s="1"/>
  <c r="AK8" i="71"/>
  <c r="AK23" i="71" s="1"/>
  <c r="AJ8" i="71"/>
  <c r="AJ23" i="71" s="1"/>
  <c r="AI8" i="71"/>
  <c r="AI23" i="71" s="1"/>
  <c r="AK7" i="71"/>
  <c r="AK22" i="71" s="1"/>
  <c r="AJ7" i="71"/>
  <c r="AJ22" i="71" s="1"/>
  <c r="AI7" i="71"/>
  <c r="AI22" i="71" s="1"/>
  <c r="AK6" i="71"/>
  <c r="AK21" i="71" s="1"/>
  <c r="AJ6" i="71"/>
  <c r="AJ21" i="71" s="1"/>
  <c r="AI6" i="71"/>
  <c r="AI21" i="71" s="1"/>
  <c r="AK5" i="71"/>
  <c r="AK20" i="71" s="1"/>
  <c r="AJ5" i="71"/>
  <c r="AJ20" i="71" s="1"/>
  <c r="AI5" i="71"/>
  <c r="AI20" i="71" s="1"/>
  <c r="AK4" i="71"/>
  <c r="AK19" i="71" s="1"/>
  <c r="AJ4" i="71"/>
  <c r="AJ19" i="71" s="1"/>
  <c r="AI4" i="71"/>
  <c r="AI19" i="71" s="1"/>
  <c r="AK3" i="71"/>
  <c r="AK18" i="71" s="1"/>
  <c r="AJ3" i="71"/>
  <c r="AJ18" i="71" s="1"/>
  <c r="AI3" i="71"/>
  <c r="AI18" i="71" s="1"/>
  <c r="AJ17" i="71"/>
  <c r="AI2" i="71"/>
  <c r="AI17" i="71" s="1"/>
  <c r="O9" i="70" l="1"/>
  <c r="O24" i="70" s="1"/>
  <c r="O8" i="70"/>
  <c r="O7" i="70"/>
  <c r="O22" i="70" s="1"/>
  <c r="O6" i="70"/>
  <c r="O21" i="70" s="1"/>
  <c r="O5" i="70"/>
  <c r="O20" i="70" s="1"/>
  <c r="O12" i="70"/>
  <c r="O27" i="70" s="1"/>
  <c r="O4" i="70"/>
  <c r="O19" i="70" s="1"/>
  <c r="O23" i="70"/>
  <c r="O11" i="70"/>
  <c r="O26" i="70" s="1"/>
  <c r="O3" i="70"/>
  <c r="O18" i="70" s="1"/>
  <c r="O10" i="70"/>
  <c r="O25" i="70" s="1"/>
  <c r="AI114" i="71"/>
  <c r="AI84" i="71"/>
  <c r="AJ84" i="71"/>
  <c r="AK84" i="71"/>
  <c r="AK14" i="71"/>
  <c r="AK29" i="71" s="1"/>
  <c r="AI14" i="71"/>
  <c r="AI29" i="71" s="1"/>
  <c r="AJ14" i="71"/>
  <c r="AJ29" i="71" s="1"/>
  <c r="O14" i="70" l="1"/>
  <c r="O29" i="70" s="1"/>
  <c r="K21" i="60"/>
  <c r="K22" i="60"/>
  <c r="K23" i="60"/>
  <c r="K24" i="60"/>
  <c r="K20" i="60"/>
  <c r="N26" i="35"/>
  <c r="K25" i="60" l="1"/>
  <c r="N17" i="35"/>
  <c r="K65" i="60" l="1"/>
  <c r="K64" i="60"/>
  <c r="K63" i="60"/>
  <c r="K62" i="60"/>
  <c r="K66" i="60"/>
  <c r="K44" i="35"/>
  <c r="M44" i="35"/>
  <c r="M45" i="35"/>
  <c r="L45" i="35"/>
  <c r="N37" i="35"/>
  <c r="K59" i="60" s="1"/>
  <c r="K67" i="60" s="1"/>
  <c r="N44" i="35"/>
  <c r="N29" i="35"/>
  <c r="K51" i="60" s="1"/>
  <c r="N34" i="35"/>
  <c r="N36" i="35"/>
  <c r="N31" i="35"/>
  <c r="N35" i="35"/>
  <c r="N33" i="35"/>
  <c r="N32" i="35"/>
  <c r="K60" i="60"/>
  <c r="K58" i="60"/>
  <c r="K57" i="60"/>
  <c r="K56" i="60"/>
  <c r="K55" i="60"/>
  <c r="K54" i="60"/>
  <c r="K53" i="60"/>
  <c r="K52" i="60"/>
  <c r="K61" i="60"/>
  <c r="J51" i="60"/>
  <c r="K39" i="60"/>
  <c r="K38" i="60"/>
  <c r="K36" i="60"/>
  <c r="K17" i="60"/>
  <c r="K3" i="60"/>
  <c r="K4" i="60"/>
  <c r="K5" i="60"/>
  <c r="K6" i="60"/>
  <c r="K7" i="60"/>
  <c r="K8" i="60"/>
  <c r="K9" i="60"/>
  <c r="K2" i="60"/>
  <c r="N6" i="35"/>
  <c r="N3" i="35"/>
  <c r="N2" i="35"/>
  <c r="N110" i="70"/>
  <c r="N55" i="70"/>
  <c r="N56" i="70"/>
  <c r="N57" i="70"/>
  <c r="N58" i="70"/>
  <c r="N59" i="70"/>
  <c r="N60" i="70"/>
  <c r="N61" i="70"/>
  <c r="N62" i="70"/>
  <c r="N63" i="70"/>
  <c r="N64" i="70"/>
  <c r="N54" i="70"/>
  <c r="N45" i="35" l="1"/>
  <c r="N4" i="35"/>
  <c r="N9" i="35" s="1"/>
  <c r="N66" i="70"/>
  <c r="N40" i="70" l="1"/>
  <c r="N41" i="70"/>
  <c r="N42" i="70"/>
  <c r="N43" i="70"/>
  <c r="N44" i="70"/>
  <c r="N45" i="70"/>
  <c r="N46" i="70"/>
  <c r="N47" i="70"/>
  <c r="N48" i="70"/>
  <c r="N49" i="70"/>
  <c r="N39" i="70"/>
  <c r="N6" i="70"/>
  <c r="AF2" i="71"/>
  <c r="AF17" i="71" s="1"/>
  <c r="AH19" i="69"/>
  <c r="N19" i="68"/>
  <c r="N4" i="68"/>
  <c r="N3" i="68"/>
  <c r="AF4" i="69"/>
  <c r="AG4" i="69"/>
  <c r="AH4" i="69"/>
  <c r="N8" i="68"/>
  <c r="N9" i="68"/>
  <c r="N10" i="68"/>
  <c r="N11" i="68"/>
  <c r="N12" i="68"/>
  <c r="N13" i="68"/>
  <c r="N14" i="68"/>
  <c r="N15" i="68"/>
  <c r="N16" i="68"/>
  <c r="N17" i="68"/>
  <c r="N7" i="68"/>
  <c r="AG19" i="69"/>
  <c r="AF19" i="69"/>
  <c r="AH12" i="71"/>
  <c r="AG12" i="71"/>
  <c r="AG27" i="71" s="1"/>
  <c r="AF12" i="71"/>
  <c r="N12" i="70" s="1"/>
  <c r="N27" i="70" s="1"/>
  <c r="AH11" i="71"/>
  <c r="AH26" i="71" s="1"/>
  <c r="AG11" i="71"/>
  <c r="AF11" i="71"/>
  <c r="AF26" i="71" s="1"/>
  <c r="AH10" i="71"/>
  <c r="AH25" i="71" s="1"/>
  <c r="AG10" i="71"/>
  <c r="AG25" i="71" s="1"/>
  <c r="AF10" i="71"/>
  <c r="N10" i="70" s="1"/>
  <c r="AH9" i="71"/>
  <c r="AH14" i="71" s="1"/>
  <c r="AH29" i="71" s="1"/>
  <c r="AG9" i="71"/>
  <c r="AG24" i="71" s="1"/>
  <c r="AF9" i="71"/>
  <c r="AF24" i="71" s="1"/>
  <c r="AH8" i="71"/>
  <c r="AG8" i="71"/>
  <c r="AF8" i="71"/>
  <c r="N8" i="70" s="1"/>
  <c r="AH7" i="71"/>
  <c r="AH22" i="71" s="1"/>
  <c r="AG7" i="71"/>
  <c r="AF7" i="71"/>
  <c r="N7" i="70" s="1"/>
  <c r="N22" i="70" s="1"/>
  <c r="AH6" i="71"/>
  <c r="AG6" i="71"/>
  <c r="AG21" i="71" s="1"/>
  <c r="AF6" i="71"/>
  <c r="AH5" i="71"/>
  <c r="AH20" i="71" s="1"/>
  <c r="AG5" i="71"/>
  <c r="AG20" i="71" s="1"/>
  <c r="AF5" i="71"/>
  <c r="AF20" i="71" s="1"/>
  <c r="AH4" i="71"/>
  <c r="AG4" i="71"/>
  <c r="AG19" i="71" s="1"/>
  <c r="AF4" i="71"/>
  <c r="AF19" i="71" s="1"/>
  <c r="AH3" i="71"/>
  <c r="AH18" i="71" s="1"/>
  <c r="AG3" i="71"/>
  <c r="AF3" i="71"/>
  <c r="N3" i="70" s="1"/>
  <c r="N18" i="70" s="1"/>
  <c r="AH2" i="71"/>
  <c r="AG2" i="71"/>
  <c r="AH112" i="71"/>
  <c r="AG112" i="71"/>
  <c r="AF112" i="71"/>
  <c r="AH111" i="71"/>
  <c r="AG111" i="71"/>
  <c r="AF111" i="71"/>
  <c r="AH110" i="71"/>
  <c r="AG110" i="71"/>
  <c r="AF110" i="71"/>
  <c r="AH109" i="71"/>
  <c r="AG109" i="71"/>
  <c r="AF109" i="71"/>
  <c r="AH108" i="71"/>
  <c r="AG108" i="71"/>
  <c r="AF108" i="71"/>
  <c r="AH107" i="71"/>
  <c r="AG107" i="71"/>
  <c r="AF107" i="71"/>
  <c r="AH106" i="71"/>
  <c r="AG106" i="71"/>
  <c r="AF106" i="71"/>
  <c r="AH105" i="71"/>
  <c r="AG105" i="71"/>
  <c r="AF105" i="71"/>
  <c r="AH104" i="71"/>
  <c r="AG104" i="71"/>
  <c r="AG114" i="71" s="1"/>
  <c r="AF104" i="71"/>
  <c r="AH103" i="71"/>
  <c r="AG103" i="71"/>
  <c r="AF103" i="71"/>
  <c r="AH102" i="71"/>
  <c r="AG102" i="71"/>
  <c r="AF102" i="71"/>
  <c r="AF84" i="71"/>
  <c r="AH82" i="71"/>
  <c r="AG82" i="71"/>
  <c r="AF82" i="71"/>
  <c r="AH81" i="71"/>
  <c r="AG81" i="71"/>
  <c r="AF81" i="71"/>
  <c r="AH80" i="71"/>
  <c r="AG80" i="71"/>
  <c r="AF80" i="71"/>
  <c r="AH79" i="71"/>
  <c r="AG79" i="71"/>
  <c r="AF79" i="71"/>
  <c r="AH78" i="71"/>
  <c r="AG78" i="71"/>
  <c r="AF78" i="71"/>
  <c r="AH77" i="71"/>
  <c r="AG77" i="71"/>
  <c r="AF77" i="71"/>
  <c r="AH76" i="71"/>
  <c r="AG76" i="71"/>
  <c r="AF76" i="71"/>
  <c r="AH75" i="71"/>
  <c r="AG75" i="71"/>
  <c r="AF75" i="71"/>
  <c r="AH74" i="71"/>
  <c r="AG74" i="71"/>
  <c r="AF74" i="71"/>
  <c r="AH73" i="71"/>
  <c r="AG73" i="71"/>
  <c r="AF73" i="71"/>
  <c r="AH72" i="71"/>
  <c r="AG72" i="71"/>
  <c r="AF72" i="71"/>
  <c r="AH69" i="71"/>
  <c r="AH84" i="71" s="1"/>
  <c r="AG69" i="71"/>
  <c r="AF69" i="71"/>
  <c r="AH54" i="71"/>
  <c r="AG54" i="71"/>
  <c r="AF54" i="71"/>
  <c r="AH27" i="71"/>
  <c r="AF27" i="71"/>
  <c r="AG26" i="71"/>
  <c r="AF25" i="71"/>
  <c r="AH23" i="71"/>
  <c r="AG23" i="71"/>
  <c r="AF23" i="71"/>
  <c r="AG22" i="71"/>
  <c r="AH21" i="71"/>
  <c r="AF21" i="71"/>
  <c r="AH19" i="71"/>
  <c r="AG18" i="71"/>
  <c r="AF18" i="71"/>
  <c r="G16" i="35"/>
  <c r="E16" i="35"/>
  <c r="M2" i="68"/>
  <c r="M4" i="68" s="1"/>
  <c r="M110" i="70"/>
  <c r="M55" i="70"/>
  <c r="M56" i="70"/>
  <c r="M57" i="70"/>
  <c r="M58" i="70"/>
  <c r="M59" i="70"/>
  <c r="M60" i="70"/>
  <c r="M61" i="70"/>
  <c r="M62" i="70"/>
  <c r="M63" i="70"/>
  <c r="M64" i="70"/>
  <c r="M54" i="70"/>
  <c r="M40" i="70"/>
  <c r="M70" i="70" s="1"/>
  <c r="M41" i="70"/>
  <c r="M101" i="70" s="1"/>
  <c r="M42" i="70"/>
  <c r="M102" i="70" s="1"/>
  <c r="M43" i="70"/>
  <c r="M44" i="70"/>
  <c r="M104" i="70" s="1"/>
  <c r="M45" i="70"/>
  <c r="M105" i="70" s="1"/>
  <c r="M46" i="70"/>
  <c r="M24" i="70" s="1"/>
  <c r="M47" i="70"/>
  <c r="M107" i="70" s="1"/>
  <c r="M48" i="70"/>
  <c r="M108" i="70" s="1"/>
  <c r="M49" i="70"/>
  <c r="M109" i="70" s="1"/>
  <c r="M39" i="70"/>
  <c r="M99" i="70" s="1"/>
  <c r="M3" i="70"/>
  <c r="M14" i="70" s="1"/>
  <c r="M4" i="70"/>
  <c r="M5" i="70"/>
  <c r="M6" i="70"/>
  <c r="M7" i="70"/>
  <c r="M8" i="70"/>
  <c r="M9" i="70"/>
  <c r="M10" i="70"/>
  <c r="M11" i="70"/>
  <c r="M12" i="70"/>
  <c r="M2" i="70"/>
  <c r="AC102" i="71"/>
  <c r="AD102" i="71"/>
  <c r="AE102" i="71"/>
  <c r="AC103" i="71"/>
  <c r="AD103" i="71"/>
  <c r="AE103" i="71"/>
  <c r="AC104" i="71"/>
  <c r="AD104" i="71"/>
  <c r="AE104" i="71"/>
  <c r="AC105" i="71"/>
  <c r="AD105" i="71"/>
  <c r="AE105" i="71"/>
  <c r="AC106" i="71"/>
  <c r="AD106" i="71"/>
  <c r="AE106" i="71"/>
  <c r="AE114" i="71" s="1"/>
  <c r="AC107" i="71"/>
  <c r="AD107" i="71"/>
  <c r="AE107" i="71"/>
  <c r="AC108" i="71"/>
  <c r="AD108" i="71"/>
  <c r="AE108" i="71"/>
  <c r="AC109" i="71"/>
  <c r="AD109" i="71"/>
  <c r="AE109" i="71"/>
  <c r="AC110" i="71"/>
  <c r="AD110" i="71"/>
  <c r="AE110" i="71"/>
  <c r="AC111" i="71"/>
  <c r="AD111" i="71"/>
  <c r="AE111" i="71"/>
  <c r="AC112" i="71"/>
  <c r="AD112" i="71"/>
  <c r="AE112" i="71"/>
  <c r="AC72" i="71"/>
  <c r="AD72" i="71"/>
  <c r="AE72" i="71"/>
  <c r="AC73" i="71"/>
  <c r="AD73" i="71"/>
  <c r="AE73" i="71"/>
  <c r="AC74" i="71"/>
  <c r="AD74" i="71"/>
  <c r="AE74" i="71"/>
  <c r="AC75" i="71"/>
  <c r="AD75" i="71"/>
  <c r="AE75" i="71"/>
  <c r="AC76" i="71"/>
  <c r="AD76" i="71"/>
  <c r="AE76" i="71"/>
  <c r="AC77" i="71"/>
  <c r="AD77" i="71"/>
  <c r="AE77" i="71"/>
  <c r="AC78" i="71"/>
  <c r="AD78" i="71"/>
  <c r="AE78" i="71"/>
  <c r="AC79" i="71"/>
  <c r="AD79" i="71"/>
  <c r="AE79" i="71"/>
  <c r="AC80" i="71"/>
  <c r="AD80" i="71"/>
  <c r="AE80" i="71"/>
  <c r="AC81" i="71"/>
  <c r="AD81" i="71"/>
  <c r="AE81" i="71"/>
  <c r="AC82" i="71"/>
  <c r="AD82" i="71"/>
  <c r="AE82" i="71"/>
  <c r="AC69" i="71"/>
  <c r="AC84" i="71" s="1"/>
  <c r="AD69" i="71"/>
  <c r="AE69" i="71"/>
  <c r="AE84" i="71" s="1"/>
  <c r="AC54" i="71"/>
  <c r="AC29" i="71" s="1"/>
  <c r="AD54" i="71"/>
  <c r="AD29" i="71" s="1"/>
  <c r="AE54" i="71"/>
  <c r="AE29" i="71" s="1"/>
  <c r="AC17" i="71"/>
  <c r="AD17" i="71"/>
  <c r="AE17" i="71"/>
  <c r="AC18" i="71"/>
  <c r="AD18" i="71"/>
  <c r="AE18" i="71"/>
  <c r="AC19" i="71"/>
  <c r="AD19" i="71"/>
  <c r="AE19" i="71"/>
  <c r="AC20" i="71"/>
  <c r="AD20" i="71"/>
  <c r="AE20" i="71"/>
  <c r="AC21" i="71"/>
  <c r="AD21" i="71"/>
  <c r="AE21" i="71"/>
  <c r="AC22" i="71"/>
  <c r="AD22" i="71"/>
  <c r="AE22" i="71"/>
  <c r="AC23" i="71"/>
  <c r="AD23" i="71"/>
  <c r="AE23" i="71"/>
  <c r="AC24" i="71"/>
  <c r="AD24" i="71"/>
  <c r="AE24" i="71"/>
  <c r="AC25" i="71"/>
  <c r="AD25" i="71"/>
  <c r="AE25" i="71"/>
  <c r="AC26" i="71"/>
  <c r="AD26" i="71"/>
  <c r="AE26" i="71"/>
  <c r="AC27" i="71"/>
  <c r="AD27" i="71"/>
  <c r="AE27" i="71"/>
  <c r="M36" i="70"/>
  <c r="M7" i="68"/>
  <c r="M8" i="68"/>
  <c r="M9" i="68"/>
  <c r="M10" i="68"/>
  <c r="M11" i="68"/>
  <c r="M19" i="68" s="1"/>
  <c r="M12" i="68"/>
  <c r="M13" i="68"/>
  <c r="M14" i="68"/>
  <c r="M15" i="68"/>
  <c r="M16" i="68"/>
  <c r="M17" i="68"/>
  <c r="G8" i="68"/>
  <c r="M3" i="68"/>
  <c r="AE19" i="69"/>
  <c r="AD19" i="69"/>
  <c r="AC19" i="69"/>
  <c r="AE4" i="69"/>
  <c r="AD4" i="69"/>
  <c r="AC4" i="69"/>
  <c r="M103" i="70" l="1"/>
  <c r="N2" i="70"/>
  <c r="N5" i="70"/>
  <c r="AD84" i="71"/>
  <c r="AG14" i="71"/>
  <c r="AG29" i="71" s="1"/>
  <c r="N4" i="70"/>
  <c r="N19" i="70" s="1"/>
  <c r="AD114" i="71"/>
  <c r="AH24" i="71"/>
  <c r="N11" i="70"/>
  <c r="N26" i="70" s="1"/>
  <c r="AF114" i="71"/>
  <c r="AH114" i="71"/>
  <c r="AG84" i="71"/>
  <c r="N9" i="70"/>
  <c r="AC114" i="71"/>
  <c r="AF22" i="71"/>
  <c r="N105" i="70"/>
  <c r="N75" i="70"/>
  <c r="M100" i="70"/>
  <c r="M111" i="70" s="1"/>
  <c r="N104" i="70"/>
  <c r="N74" i="70"/>
  <c r="N21" i="70"/>
  <c r="N103" i="70"/>
  <c r="N73" i="70"/>
  <c r="M106" i="70"/>
  <c r="N17" i="70"/>
  <c r="N99" i="70"/>
  <c r="N69" i="70"/>
  <c r="N20" i="70"/>
  <c r="N102" i="70"/>
  <c r="N72" i="70"/>
  <c r="N109" i="70"/>
  <c r="N79" i="70"/>
  <c r="N101" i="70"/>
  <c r="N71" i="70"/>
  <c r="N108" i="70"/>
  <c r="N78" i="70"/>
  <c r="N100" i="70"/>
  <c r="N70" i="70"/>
  <c r="M77" i="70"/>
  <c r="N25" i="70"/>
  <c r="N107" i="70"/>
  <c r="N77" i="70"/>
  <c r="N51" i="70"/>
  <c r="N23" i="70"/>
  <c r="N24" i="70"/>
  <c r="N76" i="70"/>
  <c r="N106" i="70"/>
  <c r="N14" i="70"/>
  <c r="AF14" i="71"/>
  <c r="AF29" i="71" s="1"/>
  <c r="AH17" i="71"/>
  <c r="AG17" i="71"/>
  <c r="M23" i="70"/>
  <c r="M18" i="70"/>
  <c r="M27" i="70"/>
  <c r="M19" i="70"/>
  <c r="M22" i="70"/>
  <c r="M76" i="70"/>
  <c r="M66" i="70"/>
  <c r="M21" i="70"/>
  <c r="M78" i="70"/>
  <c r="M75" i="70"/>
  <c r="M72" i="70"/>
  <c r="M79" i="70"/>
  <c r="M71" i="70"/>
  <c r="M74" i="70"/>
  <c r="M25" i="70"/>
  <c r="M26" i="70"/>
  <c r="M73" i="70"/>
  <c r="N29" i="70" l="1"/>
  <c r="N81" i="70"/>
  <c r="N111" i="70"/>
  <c r="M69" i="70"/>
  <c r="M20" i="70"/>
  <c r="M9" i="35"/>
  <c r="M17" i="70" l="1"/>
  <c r="M51" i="70"/>
  <c r="M37" i="35"/>
  <c r="M16" i="35"/>
  <c r="M6" i="35"/>
  <c r="M25" i="35"/>
  <c r="M4" i="35"/>
  <c r="M29" i="70" l="1"/>
  <c r="M81" i="70"/>
  <c r="E67" i="60"/>
  <c r="F59" i="60"/>
  <c r="E59" i="60"/>
  <c r="F66" i="60"/>
  <c r="F67" i="60" s="1"/>
  <c r="G38" i="60"/>
  <c r="G33" i="60"/>
  <c r="I38" i="60"/>
  <c r="I33" i="60"/>
  <c r="J17" i="60"/>
  <c r="F39" i="60"/>
  <c r="J31" i="60"/>
  <c r="I31" i="60"/>
  <c r="I39" i="60" s="1"/>
  <c r="H31" i="60"/>
  <c r="H39" i="60" s="1"/>
  <c r="G31" i="60"/>
  <c r="G39" i="60" s="1"/>
  <c r="E31" i="60"/>
  <c r="E39" i="60" s="1"/>
  <c r="G28" i="60"/>
  <c r="G14" i="60"/>
  <c r="I14" i="60"/>
  <c r="J39" i="60"/>
  <c r="J37" i="60"/>
  <c r="I37" i="60"/>
  <c r="H37" i="60"/>
  <c r="G37" i="60"/>
  <c r="E37" i="60"/>
  <c r="F37" i="60"/>
  <c r="F31" i="60"/>
  <c r="G66" i="60" l="1"/>
  <c r="I17" i="60" l="1"/>
  <c r="H17" i="60"/>
  <c r="G17" i="60"/>
  <c r="E17" i="60"/>
  <c r="F17" i="60"/>
  <c r="J48" i="60"/>
  <c r="I48" i="60"/>
  <c r="H48" i="60"/>
  <c r="G48" i="60"/>
  <c r="J47" i="60"/>
  <c r="J46" i="60"/>
  <c r="I46" i="60"/>
  <c r="H46" i="60"/>
  <c r="G46" i="60"/>
  <c r="J45" i="60"/>
  <c r="I45" i="60"/>
  <c r="H45" i="60"/>
  <c r="G45" i="60"/>
  <c r="J44" i="60"/>
  <c r="I44" i="60"/>
  <c r="H44" i="60"/>
  <c r="G44" i="60"/>
  <c r="J43" i="60"/>
  <c r="I43" i="60"/>
  <c r="H43" i="60"/>
  <c r="G43" i="60"/>
  <c r="J42" i="60"/>
  <c r="I42" i="60"/>
  <c r="H42" i="60"/>
  <c r="G42" i="60"/>
  <c r="B46" i="60"/>
  <c r="B45" i="60"/>
  <c r="B44" i="60"/>
  <c r="B43" i="60"/>
  <c r="B42" i="60"/>
  <c r="L25" i="35"/>
  <c r="K25" i="35"/>
  <c r="J25" i="35"/>
  <c r="I47" i="60" s="1"/>
  <c r="I25" i="35"/>
  <c r="H25" i="35"/>
  <c r="H47" i="60" s="1"/>
  <c r="G25" i="35"/>
  <c r="F25" i="35"/>
  <c r="G47" i="60" s="1"/>
  <c r="E25" i="35"/>
  <c r="L31" i="35"/>
  <c r="L33" i="35"/>
  <c r="K31" i="35"/>
  <c r="J31" i="35"/>
  <c r="K34" i="35"/>
  <c r="K36" i="35"/>
  <c r="J36" i="35"/>
  <c r="I31" i="35"/>
  <c r="I34" i="35"/>
  <c r="F31" i="35"/>
  <c r="F34" i="35"/>
  <c r="I36" i="35"/>
  <c r="H31" i="35"/>
  <c r="H34" i="35"/>
  <c r="G36" i="35"/>
  <c r="G31" i="35"/>
  <c r="F36" i="35"/>
  <c r="G33" i="35"/>
  <c r="G34" i="35"/>
  <c r="E31" i="35"/>
  <c r="E37" i="35" s="1"/>
  <c r="E45" i="35" s="1"/>
  <c r="F44" i="35" s="1"/>
  <c r="I61" i="22"/>
  <c r="H61" i="22"/>
  <c r="F4" i="22"/>
  <c r="F8" i="22" s="1"/>
  <c r="F10" i="22" s="1"/>
  <c r="F36" i="63"/>
  <c r="E36" i="63"/>
  <c r="F36" i="70"/>
  <c r="G36" i="70"/>
  <c r="H36" i="70"/>
  <c r="I36" i="70"/>
  <c r="J36" i="70"/>
  <c r="K36" i="70"/>
  <c r="L36" i="70"/>
  <c r="E36" i="70"/>
  <c r="F14" i="22" l="1"/>
  <c r="J61" i="60" l="1"/>
  <c r="J62" i="60"/>
  <c r="J63" i="60"/>
  <c r="J64" i="60"/>
  <c r="J65" i="60"/>
  <c r="J60" i="60"/>
  <c r="I61" i="60"/>
  <c r="I74" i="22" s="1"/>
  <c r="I62" i="60"/>
  <c r="I75" i="22" s="1"/>
  <c r="I63" i="60"/>
  <c r="I64" i="60"/>
  <c r="I77" i="22" s="1"/>
  <c r="I65" i="60"/>
  <c r="I78" i="22" s="1"/>
  <c r="I60" i="60"/>
  <c r="H61" i="60"/>
  <c r="H62" i="60"/>
  <c r="H63" i="60"/>
  <c r="H64" i="60"/>
  <c r="H65" i="60"/>
  <c r="H60" i="60"/>
  <c r="G61" i="60"/>
  <c r="G62" i="60"/>
  <c r="G63" i="60"/>
  <c r="G64" i="60"/>
  <c r="G65" i="60"/>
  <c r="H78" i="22" s="1"/>
  <c r="G60" i="60"/>
  <c r="G52" i="60"/>
  <c r="H52" i="60"/>
  <c r="I52" i="60"/>
  <c r="I65" i="22" s="1"/>
  <c r="J52" i="60"/>
  <c r="G53" i="60"/>
  <c r="H53" i="60"/>
  <c r="I53" i="60"/>
  <c r="J53" i="60"/>
  <c r="G54" i="60"/>
  <c r="H54" i="60"/>
  <c r="I54" i="60"/>
  <c r="J54" i="60"/>
  <c r="G55" i="60"/>
  <c r="H55" i="60"/>
  <c r="I55" i="60"/>
  <c r="J55" i="60"/>
  <c r="G56" i="60"/>
  <c r="H56" i="60"/>
  <c r="I56" i="60"/>
  <c r="J56" i="60"/>
  <c r="G57" i="60"/>
  <c r="H57" i="60"/>
  <c r="I57" i="60"/>
  <c r="J57" i="60"/>
  <c r="G58" i="60"/>
  <c r="H58" i="60"/>
  <c r="I58" i="60"/>
  <c r="J58" i="60"/>
  <c r="I51" i="60"/>
  <c r="H51" i="60"/>
  <c r="G51" i="60"/>
  <c r="H77" i="22" l="1"/>
  <c r="H76" i="22"/>
  <c r="H75" i="22"/>
  <c r="H65" i="22"/>
  <c r="I76" i="22"/>
  <c r="I68" i="22"/>
  <c r="I70" i="22"/>
  <c r="I66" i="22"/>
  <c r="I67" i="22"/>
  <c r="I64" i="22"/>
  <c r="I73" i="22"/>
  <c r="H73" i="22"/>
  <c r="H74" i="22"/>
  <c r="H59" i="60"/>
  <c r="H69" i="22"/>
  <c r="H64" i="22"/>
  <c r="H66" i="22"/>
  <c r="H67" i="22"/>
  <c r="H68" i="22"/>
  <c r="I71" i="22"/>
  <c r="H71" i="22"/>
  <c r="H70" i="22"/>
  <c r="I69" i="22"/>
  <c r="J59" i="60"/>
  <c r="I59" i="60"/>
  <c r="G59" i="60"/>
  <c r="G67" i="60" s="1"/>
  <c r="H66" i="60" s="1"/>
  <c r="K37" i="35"/>
  <c r="J37" i="35"/>
  <c r="I37" i="35"/>
  <c r="F37" i="35"/>
  <c r="F45" i="35" s="1"/>
  <c r="G37" i="35"/>
  <c r="H37" i="35"/>
  <c r="L37" i="35"/>
  <c r="H67" i="60" l="1"/>
  <c r="I66" i="60" s="1"/>
  <c r="I67" i="60" s="1"/>
  <c r="I72" i="22"/>
  <c r="H72" i="22"/>
  <c r="H80" i="22" s="1"/>
  <c r="I79" i="22" s="1"/>
  <c r="I80" i="22" s="1"/>
  <c r="J66" i="60" l="1"/>
  <c r="J67" i="60" s="1"/>
  <c r="F102" i="71"/>
  <c r="G102" i="71"/>
  <c r="H102" i="71"/>
  <c r="I102" i="71"/>
  <c r="J102" i="71"/>
  <c r="K102" i="71"/>
  <c r="L102" i="71"/>
  <c r="M102" i="71"/>
  <c r="N102" i="71"/>
  <c r="O102" i="71"/>
  <c r="P102" i="71"/>
  <c r="Q102" i="71"/>
  <c r="R102" i="71"/>
  <c r="S102" i="71"/>
  <c r="T102" i="71"/>
  <c r="U102" i="71"/>
  <c r="V102" i="71"/>
  <c r="W102" i="71"/>
  <c r="X102" i="71"/>
  <c r="Y102" i="71"/>
  <c r="Z102" i="71"/>
  <c r="AA102" i="71"/>
  <c r="AB102" i="71"/>
  <c r="F103" i="71"/>
  <c r="G103" i="71"/>
  <c r="H103" i="71"/>
  <c r="I103" i="71"/>
  <c r="J103" i="71"/>
  <c r="K103" i="71"/>
  <c r="L103" i="71"/>
  <c r="M103" i="71"/>
  <c r="N103" i="71"/>
  <c r="O103" i="71"/>
  <c r="P103" i="71"/>
  <c r="Q103" i="71"/>
  <c r="R103" i="71"/>
  <c r="S103" i="71"/>
  <c r="T103" i="71"/>
  <c r="U103" i="71"/>
  <c r="V103" i="71"/>
  <c r="W103" i="71"/>
  <c r="X103" i="71"/>
  <c r="Y103" i="71"/>
  <c r="Z103" i="71"/>
  <c r="AA103" i="71"/>
  <c r="AB103" i="71"/>
  <c r="F104" i="71"/>
  <c r="G104" i="71"/>
  <c r="H104" i="71"/>
  <c r="I104" i="71"/>
  <c r="J104" i="71"/>
  <c r="K104" i="71"/>
  <c r="L104" i="71"/>
  <c r="M104" i="71"/>
  <c r="N104" i="71"/>
  <c r="O104" i="71"/>
  <c r="P104" i="71"/>
  <c r="Q104" i="71"/>
  <c r="R104" i="71"/>
  <c r="S104" i="71"/>
  <c r="T104" i="71"/>
  <c r="U104" i="71"/>
  <c r="V104" i="71"/>
  <c r="W104" i="71"/>
  <c r="X104" i="71"/>
  <c r="Y104" i="71"/>
  <c r="Z104" i="71"/>
  <c r="AA104" i="71"/>
  <c r="AB104" i="71"/>
  <c r="F105" i="71"/>
  <c r="G105" i="71"/>
  <c r="H105" i="71"/>
  <c r="I105" i="71"/>
  <c r="J105" i="71"/>
  <c r="K105" i="71"/>
  <c r="L105" i="71"/>
  <c r="M105" i="71"/>
  <c r="N105" i="71"/>
  <c r="O105" i="71"/>
  <c r="P105" i="71"/>
  <c r="Q105" i="71"/>
  <c r="R105" i="71"/>
  <c r="S105" i="71"/>
  <c r="T105" i="71"/>
  <c r="U105" i="71"/>
  <c r="V105" i="71"/>
  <c r="W105" i="71"/>
  <c r="X105" i="71"/>
  <c r="Y105" i="71"/>
  <c r="Z105" i="71"/>
  <c r="AA105" i="71"/>
  <c r="AB105" i="71"/>
  <c r="F106" i="71"/>
  <c r="G106" i="71"/>
  <c r="H106" i="71"/>
  <c r="I106" i="71"/>
  <c r="J106" i="71"/>
  <c r="K106" i="71"/>
  <c r="L106" i="71"/>
  <c r="M106" i="71"/>
  <c r="N106" i="71"/>
  <c r="O106" i="71"/>
  <c r="P106" i="71"/>
  <c r="Q106" i="71"/>
  <c r="R106" i="71"/>
  <c r="S106" i="71"/>
  <c r="T106" i="71"/>
  <c r="U106" i="71"/>
  <c r="V106" i="71"/>
  <c r="W106" i="71"/>
  <c r="X106" i="71"/>
  <c r="Y106" i="71"/>
  <c r="Z106" i="71"/>
  <c r="AA106" i="71"/>
  <c r="AB106" i="71"/>
  <c r="F107" i="71"/>
  <c r="G107" i="71"/>
  <c r="H107" i="71"/>
  <c r="I107" i="71"/>
  <c r="J107" i="71"/>
  <c r="K107" i="71"/>
  <c r="L107" i="71"/>
  <c r="M107" i="71"/>
  <c r="N107" i="71"/>
  <c r="O107" i="71"/>
  <c r="P107" i="71"/>
  <c r="Q107" i="71"/>
  <c r="R107" i="71"/>
  <c r="S107" i="71"/>
  <c r="T107" i="71"/>
  <c r="U107" i="71"/>
  <c r="V107" i="71"/>
  <c r="W107" i="71"/>
  <c r="X107" i="71"/>
  <c r="Y107" i="71"/>
  <c r="Z107" i="71"/>
  <c r="AA107" i="71"/>
  <c r="AB107" i="71"/>
  <c r="F108" i="71"/>
  <c r="G108" i="71"/>
  <c r="H108" i="71"/>
  <c r="I108" i="71"/>
  <c r="J108" i="71"/>
  <c r="K108" i="71"/>
  <c r="L108" i="71"/>
  <c r="M108" i="71"/>
  <c r="N108" i="71"/>
  <c r="O108" i="71"/>
  <c r="P108" i="71"/>
  <c r="Q108" i="71"/>
  <c r="R108" i="71"/>
  <c r="S108" i="71"/>
  <c r="T108" i="71"/>
  <c r="U108" i="71"/>
  <c r="V108" i="71"/>
  <c r="W108" i="71"/>
  <c r="X108" i="71"/>
  <c r="Y108" i="71"/>
  <c r="Z108" i="71"/>
  <c r="AA108" i="71"/>
  <c r="AB108" i="71"/>
  <c r="F109" i="71"/>
  <c r="G109" i="71"/>
  <c r="H109" i="71"/>
  <c r="I109" i="71"/>
  <c r="J109" i="71"/>
  <c r="K109" i="71"/>
  <c r="L109" i="71"/>
  <c r="M109" i="71"/>
  <c r="N109" i="71"/>
  <c r="O109" i="71"/>
  <c r="P109" i="71"/>
  <c r="Q109" i="71"/>
  <c r="R109" i="71"/>
  <c r="S109" i="71"/>
  <c r="T109" i="71"/>
  <c r="U109" i="71"/>
  <c r="V109" i="71"/>
  <c r="W109" i="71"/>
  <c r="X109" i="71"/>
  <c r="Y109" i="71"/>
  <c r="Z109" i="71"/>
  <c r="AA109" i="71"/>
  <c r="AB109" i="71"/>
  <c r="F110" i="71"/>
  <c r="G110" i="71"/>
  <c r="H110" i="71"/>
  <c r="I110" i="71"/>
  <c r="J110" i="71"/>
  <c r="K110" i="71"/>
  <c r="L110" i="71"/>
  <c r="M110" i="71"/>
  <c r="N110" i="71"/>
  <c r="O110" i="71"/>
  <c r="P110" i="71"/>
  <c r="Q110" i="71"/>
  <c r="R110" i="71"/>
  <c r="S110" i="71"/>
  <c r="T110" i="71"/>
  <c r="U110" i="71"/>
  <c r="V110" i="71"/>
  <c r="W110" i="71"/>
  <c r="X110" i="71"/>
  <c r="Y110" i="71"/>
  <c r="Z110" i="71"/>
  <c r="AA110" i="71"/>
  <c r="AB110" i="71"/>
  <c r="F111" i="71"/>
  <c r="G111" i="71"/>
  <c r="H111" i="71"/>
  <c r="I111" i="71"/>
  <c r="J111" i="71"/>
  <c r="K111" i="71"/>
  <c r="L111" i="71"/>
  <c r="M111" i="71"/>
  <c r="N111" i="71"/>
  <c r="O111" i="71"/>
  <c r="P111" i="71"/>
  <c r="Q111" i="71"/>
  <c r="R111" i="71"/>
  <c r="S111" i="71"/>
  <c r="T111" i="71"/>
  <c r="U111" i="71"/>
  <c r="V111" i="71"/>
  <c r="W111" i="71"/>
  <c r="X111" i="71"/>
  <c r="Y111" i="71"/>
  <c r="Z111" i="71"/>
  <c r="AA111" i="71"/>
  <c r="AB111" i="71"/>
  <c r="F112" i="71"/>
  <c r="G112" i="71"/>
  <c r="H112" i="71"/>
  <c r="I112" i="71"/>
  <c r="J112" i="71"/>
  <c r="K112" i="71"/>
  <c r="L112" i="71"/>
  <c r="M112" i="71"/>
  <c r="N112" i="71"/>
  <c r="O112" i="71"/>
  <c r="P112" i="71"/>
  <c r="Q112" i="71"/>
  <c r="R112" i="71"/>
  <c r="S112" i="71"/>
  <c r="T112" i="71"/>
  <c r="U112" i="71"/>
  <c r="V112" i="71"/>
  <c r="W112" i="71"/>
  <c r="X112" i="71"/>
  <c r="Y112" i="71"/>
  <c r="Z112" i="71"/>
  <c r="AA112" i="71"/>
  <c r="AB112" i="71"/>
  <c r="E103" i="71"/>
  <c r="E104" i="71"/>
  <c r="E105" i="71"/>
  <c r="E106" i="71"/>
  <c r="E107" i="71"/>
  <c r="E108" i="71"/>
  <c r="E109" i="71"/>
  <c r="E110" i="71"/>
  <c r="E111" i="71"/>
  <c r="E112" i="71"/>
  <c r="E102" i="71"/>
  <c r="F110" i="70"/>
  <c r="G110" i="70"/>
  <c r="H110" i="70"/>
  <c r="I110" i="70"/>
  <c r="J110" i="70"/>
  <c r="K110" i="70"/>
  <c r="L110" i="70"/>
  <c r="E110" i="70"/>
  <c r="J21" i="60"/>
  <c r="J22" i="60"/>
  <c r="J23" i="60"/>
  <c r="I21" i="60"/>
  <c r="I22" i="60"/>
  <c r="I23" i="60"/>
  <c r="H21" i="60"/>
  <c r="H22" i="60"/>
  <c r="H23" i="60"/>
  <c r="J20" i="60"/>
  <c r="I20" i="60"/>
  <c r="H20" i="60"/>
  <c r="G21" i="60"/>
  <c r="G22" i="60"/>
  <c r="G23" i="60"/>
  <c r="G20" i="60"/>
  <c r="F25" i="60"/>
  <c r="E25" i="60"/>
  <c r="G44" i="35" l="1"/>
  <c r="G45" i="35" s="1"/>
  <c r="L16" i="35"/>
  <c r="J16" i="35"/>
  <c r="F16" i="35"/>
  <c r="I16" i="35"/>
  <c r="L8" i="35"/>
  <c r="J6" i="35"/>
  <c r="K6" i="35" s="1"/>
  <c r="J3" i="35"/>
  <c r="K3" i="35" s="1"/>
  <c r="J2" i="35"/>
  <c r="K2" i="35" s="1"/>
  <c r="F6" i="35"/>
  <c r="G6" i="35" s="1"/>
  <c r="F3" i="35"/>
  <c r="G3" i="35" s="1"/>
  <c r="F2" i="35"/>
  <c r="G2" i="35" s="1"/>
  <c r="I24" i="60" l="1"/>
  <c r="I25" i="60" s="1"/>
  <c r="H44" i="35"/>
  <c r="H45" i="35" s="1"/>
  <c r="G24" i="60"/>
  <c r="G25" i="60" s="1"/>
  <c r="K16" i="35"/>
  <c r="J24" i="60" s="1"/>
  <c r="J25" i="60" s="1"/>
  <c r="H16" i="35"/>
  <c r="H24" i="60"/>
  <c r="H25" i="60" s="1"/>
  <c r="F4" i="35"/>
  <c r="F9" i="35" s="1"/>
  <c r="G4" i="35"/>
  <c r="G9" i="35" s="1"/>
  <c r="I4" i="35"/>
  <c r="I9" i="35" s="1"/>
  <c r="J4" i="35"/>
  <c r="J9" i="35" s="1"/>
  <c r="K4" i="35"/>
  <c r="K9" i="35" s="1"/>
  <c r="E4" i="35"/>
  <c r="I44" i="35" l="1"/>
  <c r="I45" i="35" s="1"/>
  <c r="F61" i="22"/>
  <c r="G61" i="22"/>
  <c r="J44" i="35" l="1"/>
  <c r="J45" i="35" s="1"/>
  <c r="F18" i="67"/>
  <c r="E18" i="67"/>
  <c r="K45" i="35" l="1"/>
  <c r="L44" i="35" s="1"/>
  <c r="E8" i="68" l="1"/>
  <c r="F8" i="68"/>
  <c r="H8" i="68"/>
  <c r="I8" i="68"/>
  <c r="J8" i="68"/>
  <c r="K8" i="68"/>
  <c r="L8" i="68"/>
  <c r="E9" i="68"/>
  <c r="F9" i="68"/>
  <c r="G9" i="68"/>
  <c r="H9" i="68"/>
  <c r="I9" i="68"/>
  <c r="J9" i="68"/>
  <c r="K9" i="68"/>
  <c r="L9" i="68"/>
  <c r="E10" i="68"/>
  <c r="F10" i="68"/>
  <c r="G10" i="68"/>
  <c r="H10" i="68"/>
  <c r="I10" i="68"/>
  <c r="J10" i="68"/>
  <c r="K10" i="68"/>
  <c r="L10" i="68"/>
  <c r="E11" i="68"/>
  <c r="E11" i="67" s="1"/>
  <c r="F11" i="68"/>
  <c r="G11" i="68"/>
  <c r="H11" i="68"/>
  <c r="I11" i="68"/>
  <c r="J11" i="68"/>
  <c r="K11" i="68"/>
  <c r="L11" i="68"/>
  <c r="E12" i="68"/>
  <c r="E12" i="67" s="1"/>
  <c r="F12" i="68"/>
  <c r="G12" i="68"/>
  <c r="H12" i="68"/>
  <c r="I12" i="68"/>
  <c r="J12" i="68"/>
  <c r="K12" i="68"/>
  <c r="L12" i="68"/>
  <c r="E13" i="68"/>
  <c r="E13" i="67" s="1"/>
  <c r="F13" i="68"/>
  <c r="G13" i="68"/>
  <c r="H13" i="68"/>
  <c r="I13" i="68"/>
  <c r="J13" i="68"/>
  <c r="K13" i="68"/>
  <c r="L13" i="68"/>
  <c r="E14" i="68"/>
  <c r="E14" i="67" s="1"/>
  <c r="F14" i="68"/>
  <c r="G14" i="68"/>
  <c r="H14" i="68"/>
  <c r="I14" i="68"/>
  <c r="J14" i="68"/>
  <c r="K14" i="68"/>
  <c r="L14" i="68"/>
  <c r="E15" i="68"/>
  <c r="E15" i="67" s="1"/>
  <c r="F15" i="68"/>
  <c r="G15" i="68"/>
  <c r="H15" i="68"/>
  <c r="I15" i="68"/>
  <c r="J15" i="68"/>
  <c r="K15" i="68"/>
  <c r="L15" i="68"/>
  <c r="E16" i="68"/>
  <c r="E16" i="67" s="1"/>
  <c r="F16" i="68"/>
  <c r="G16" i="68"/>
  <c r="H16" i="68"/>
  <c r="I16" i="68"/>
  <c r="J16" i="68"/>
  <c r="K16" i="68"/>
  <c r="L16" i="68"/>
  <c r="E17" i="68"/>
  <c r="E17" i="67" s="1"/>
  <c r="F17" i="68"/>
  <c r="G17" i="68"/>
  <c r="H17" i="68"/>
  <c r="I17" i="68"/>
  <c r="J17" i="68"/>
  <c r="K17" i="68"/>
  <c r="L17" i="68"/>
  <c r="L7" i="68"/>
  <c r="K7" i="68"/>
  <c r="J7" i="68"/>
  <c r="I7" i="68"/>
  <c r="H7" i="68"/>
  <c r="G7" i="68"/>
  <c r="F7" i="68"/>
  <c r="E7" i="68"/>
  <c r="F3" i="68"/>
  <c r="F2" i="68"/>
  <c r="I4" i="68"/>
  <c r="E3" i="68"/>
  <c r="G3" i="68"/>
  <c r="H3" i="68"/>
  <c r="I3" i="68"/>
  <c r="J3" i="68"/>
  <c r="K3" i="68"/>
  <c r="K4" i="68" s="1"/>
  <c r="L3" i="68"/>
  <c r="L2" i="68"/>
  <c r="L4" i="68" s="1"/>
  <c r="K2" i="68"/>
  <c r="J2" i="68"/>
  <c r="J4" i="68" s="1"/>
  <c r="I2" i="68"/>
  <c r="H2" i="68"/>
  <c r="H4" i="68" s="1"/>
  <c r="G2" i="68"/>
  <c r="G4" i="68" s="1"/>
  <c r="E2" i="68"/>
  <c r="E2" i="67" s="1"/>
  <c r="R4" i="69"/>
  <c r="S4" i="69"/>
  <c r="U4" i="69"/>
  <c r="W4" i="69"/>
  <c r="X4" i="69"/>
  <c r="Z4" i="69"/>
  <c r="AA4" i="69"/>
  <c r="Q4" i="69"/>
  <c r="F4" i="69"/>
  <c r="G4" i="69"/>
  <c r="H4" i="69"/>
  <c r="I4" i="69"/>
  <c r="J4" i="69"/>
  <c r="K4" i="69"/>
  <c r="L4" i="69"/>
  <c r="M4" i="69"/>
  <c r="N4" i="69"/>
  <c r="O4" i="69"/>
  <c r="P4" i="69"/>
  <c r="T4" i="69"/>
  <c r="V4" i="69"/>
  <c r="Y4" i="69"/>
  <c r="AB4" i="69"/>
  <c r="E4" i="69"/>
  <c r="F17" i="67" l="1"/>
  <c r="F16" i="67"/>
  <c r="F15" i="67"/>
  <c r="F14" i="67"/>
  <c r="F13" i="67"/>
  <c r="F12" i="67"/>
  <c r="F11" i="67"/>
  <c r="F10" i="67"/>
  <c r="F9" i="67"/>
  <c r="F8" i="67"/>
  <c r="F3" i="67"/>
  <c r="F2" i="67"/>
  <c r="F4" i="67" s="1"/>
  <c r="F7" i="67"/>
  <c r="E3" i="67"/>
  <c r="E4" i="67" s="1"/>
  <c r="E4" i="68"/>
  <c r="E10" i="67"/>
  <c r="E9" i="67"/>
  <c r="E8" i="67"/>
  <c r="E19" i="67" s="1"/>
  <c r="E7" i="67"/>
  <c r="F4" i="68"/>
  <c r="F19" i="67" l="1"/>
  <c r="F19" i="68"/>
  <c r="G19" i="68"/>
  <c r="H19" i="68"/>
  <c r="I19" i="68"/>
  <c r="J19" i="68"/>
  <c r="K19" i="68"/>
  <c r="L19" i="68"/>
  <c r="F72" i="71"/>
  <c r="G72" i="71"/>
  <c r="H72" i="71"/>
  <c r="I72" i="71"/>
  <c r="J72" i="71"/>
  <c r="K72" i="71"/>
  <c r="L72" i="71"/>
  <c r="M72" i="71"/>
  <c r="N72" i="71"/>
  <c r="O72" i="71"/>
  <c r="P72" i="71"/>
  <c r="Q72" i="71"/>
  <c r="R72" i="71"/>
  <c r="S72" i="71"/>
  <c r="T72" i="71"/>
  <c r="U72" i="71"/>
  <c r="V72" i="71"/>
  <c r="W72" i="71"/>
  <c r="X72" i="71"/>
  <c r="Y72" i="71"/>
  <c r="Z72" i="71"/>
  <c r="AA72" i="71"/>
  <c r="AB72" i="71"/>
  <c r="F73" i="71"/>
  <c r="G73" i="71"/>
  <c r="H73" i="71"/>
  <c r="I73" i="71"/>
  <c r="J73" i="71"/>
  <c r="K73" i="71"/>
  <c r="L73" i="71"/>
  <c r="M73" i="71"/>
  <c r="N73" i="71"/>
  <c r="O73" i="71"/>
  <c r="P73" i="71"/>
  <c r="Q73" i="71"/>
  <c r="R73" i="71"/>
  <c r="S73" i="71"/>
  <c r="T73" i="71"/>
  <c r="U73" i="71"/>
  <c r="V73" i="71"/>
  <c r="W73" i="71"/>
  <c r="X73" i="71"/>
  <c r="Y73" i="71"/>
  <c r="Z73" i="71"/>
  <c r="AA73" i="71"/>
  <c r="AB73" i="71"/>
  <c r="F74" i="71"/>
  <c r="G74" i="71"/>
  <c r="H74" i="71"/>
  <c r="I74" i="71"/>
  <c r="J74" i="71"/>
  <c r="K74" i="71"/>
  <c r="L74" i="71"/>
  <c r="M74" i="71"/>
  <c r="N74" i="71"/>
  <c r="O74" i="71"/>
  <c r="P74" i="71"/>
  <c r="Q74" i="71"/>
  <c r="R74" i="71"/>
  <c r="S74" i="71"/>
  <c r="T74" i="71"/>
  <c r="U74" i="71"/>
  <c r="V74" i="71"/>
  <c r="W74" i="71"/>
  <c r="X74" i="71"/>
  <c r="Y74" i="71"/>
  <c r="Z74" i="71"/>
  <c r="AA74" i="71"/>
  <c r="AB74" i="71"/>
  <c r="F75" i="71"/>
  <c r="G75" i="71"/>
  <c r="H75" i="71"/>
  <c r="I75" i="71"/>
  <c r="J75" i="71"/>
  <c r="K75" i="71"/>
  <c r="L75" i="71"/>
  <c r="M75" i="71"/>
  <c r="N75" i="71"/>
  <c r="O75" i="71"/>
  <c r="P75" i="71"/>
  <c r="Q75" i="71"/>
  <c r="R75" i="71"/>
  <c r="S75" i="71"/>
  <c r="T75" i="71"/>
  <c r="U75" i="71"/>
  <c r="V75" i="71"/>
  <c r="W75" i="71"/>
  <c r="X75" i="71"/>
  <c r="Y75" i="71"/>
  <c r="Z75" i="71"/>
  <c r="AA75" i="71"/>
  <c r="AB75" i="71"/>
  <c r="F76" i="71"/>
  <c r="G76" i="71"/>
  <c r="H76" i="71"/>
  <c r="I76" i="71"/>
  <c r="J76" i="71"/>
  <c r="K76" i="71"/>
  <c r="L76" i="71"/>
  <c r="M76" i="71"/>
  <c r="N76" i="71"/>
  <c r="O76" i="71"/>
  <c r="P76" i="71"/>
  <c r="Q76" i="71"/>
  <c r="R76" i="71"/>
  <c r="S76" i="71"/>
  <c r="T76" i="71"/>
  <c r="U76" i="71"/>
  <c r="V76" i="71"/>
  <c r="W76" i="71"/>
  <c r="X76" i="71"/>
  <c r="Y76" i="71"/>
  <c r="Z76" i="71"/>
  <c r="AA76" i="71"/>
  <c r="AB76" i="71"/>
  <c r="F77" i="71"/>
  <c r="G77" i="71"/>
  <c r="H77" i="71"/>
  <c r="I77" i="71"/>
  <c r="J77" i="71"/>
  <c r="K77" i="71"/>
  <c r="L77" i="71"/>
  <c r="M77" i="71"/>
  <c r="N77" i="71"/>
  <c r="O77" i="71"/>
  <c r="P77" i="71"/>
  <c r="Q77" i="71"/>
  <c r="R77" i="71"/>
  <c r="S77" i="71"/>
  <c r="T77" i="71"/>
  <c r="U77" i="71"/>
  <c r="V77" i="71"/>
  <c r="W77" i="71"/>
  <c r="X77" i="71"/>
  <c r="Y77" i="71"/>
  <c r="Z77" i="71"/>
  <c r="AA77" i="71"/>
  <c r="AB77" i="71"/>
  <c r="F78" i="71"/>
  <c r="G78" i="71"/>
  <c r="H78" i="71"/>
  <c r="I78" i="71"/>
  <c r="J78" i="71"/>
  <c r="K78" i="71"/>
  <c r="L78" i="71"/>
  <c r="M78" i="71"/>
  <c r="N78" i="71"/>
  <c r="O78" i="71"/>
  <c r="P78" i="71"/>
  <c r="Q78" i="71"/>
  <c r="R78" i="71"/>
  <c r="S78" i="71"/>
  <c r="T78" i="71"/>
  <c r="U78" i="71"/>
  <c r="V78" i="71"/>
  <c r="W78" i="71"/>
  <c r="X78" i="71"/>
  <c r="Y78" i="71"/>
  <c r="Z78" i="71"/>
  <c r="AA78" i="71"/>
  <c r="AB78" i="71"/>
  <c r="F79" i="71"/>
  <c r="G79" i="71"/>
  <c r="H79" i="71"/>
  <c r="I79" i="71"/>
  <c r="J79" i="71"/>
  <c r="K79" i="71"/>
  <c r="L79" i="71"/>
  <c r="M79" i="71"/>
  <c r="N79" i="71"/>
  <c r="O79" i="71"/>
  <c r="P79" i="71"/>
  <c r="Q79" i="71"/>
  <c r="R79" i="71"/>
  <c r="S79" i="71"/>
  <c r="T79" i="71"/>
  <c r="U79" i="71"/>
  <c r="V79" i="71"/>
  <c r="W79" i="71"/>
  <c r="X79" i="71"/>
  <c r="Y79" i="71"/>
  <c r="Z79" i="71"/>
  <c r="AA79" i="71"/>
  <c r="AB79" i="71"/>
  <c r="F80" i="71"/>
  <c r="G80" i="71"/>
  <c r="H80" i="71"/>
  <c r="I80" i="71"/>
  <c r="J80" i="71"/>
  <c r="K80" i="71"/>
  <c r="L80" i="71"/>
  <c r="M80" i="71"/>
  <c r="N80" i="71"/>
  <c r="O80" i="71"/>
  <c r="P80" i="71"/>
  <c r="Q80" i="71"/>
  <c r="R80" i="71"/>
  <c r="S80" i="71"/>
  <c r="T80" i="71"/>
  <c r="U80" i="71"/>
  <c r="V80" i="71"/>
  <c r="W80" i="71"/>
  <c r="X80" i="71"/>
  <c r="Y80" i="71"/>
  <c r="Z80" i="71"/>
  <c r="AA80" i="71"/>
  <c r="AB80" i="71"/>
  <c r="F81" i="71"/>
  <c r="G81" i="71"/>
  <c r="H81" i="71"/>
  <c r="I81" i="71"/>
  <c r="J81" i="71"/>
  <c r="K81" i="71"/>
  <c r="L81" i="71"/>
  <c r="M81" i="71"/>
  <c r="N81" i="71"/>
  <c r="O81" i="71"/>
  <c r="P81" i="71"/>
  <c r="Q81" i="71"/>
  <c r="R81" i="71"/>
  <c r="S81" i="71"/>
  <c r="T81" i="71"/>
  <c r="U81" i="71"/>
  <c r="V81" i="71"/>
  <c r="W81" i="71"/>
  <c r="X81" i="71"/>
  <c r="Y81" i="71"/>
  <c r="Z81" i="71"/>
  <c r="AA81" i="71"/>
  <c r="AB81" i="71"/>
  <c r="F82" i="71"/>
  <c r="G82" i="71"/>
  <c r="H82" i="71"/>
  <c r="I82" i="71"/>
  <c r="J82" i="71"/>
  <c r="K82" i="71"/>
  <c r="L82" i="71"/>
  <c r="M82" i="71"/>
  <c r="N82" i="71"/>
  <c r="O82" i="71"/>
  <c r="P82" i="71"/>
  <c r="Q82" i="71"/>
  <c r="R82" i="71"/>
  <c r="S82" i="71"/>
  <c r="T82" i="71"/>
  <c r="U82" i="71"/>
  <c r="V82" i="71"/>
  <c r="W82" i="71"/>
  <c r="X82" i="71"/>
  <c r="Y82" i="71"/>
  <c r="Z82" i="71"/>
  <c r="AA82" i="71"/>
  <c r="AB82" i="71"/>
  <c r="E73" i="71"/>
  <c r="E74" i="71"/>
  <c r="E75" i="71"/>
  <c r="E76" i="71"/>
  <c r="E77" i="71"/>
  <c r="E78" i="71"/>
  <c r="E79" i="71"/>
  <c r="E80" i="71"/>
  <c r="E81" i="71"/>
  <c r="E82" i="71"/>
  <c r="E72" i="71"/>
  <c r="F28" i="71"/>
  <c r="G28" i="71"/>
  <c r="H28" i="71"/>
  <c r="I28" i="71"/>
  <c r="J28" i="71"/>
  <c r="K28" i="71"/>
  <c r="L28" i="71"/>
  <c r="M28" i="71"/>
  <c r="N28" i="71"/>
  <c r="O28" i="71"/>
  <c r="P28" i="71"/>
  <c r="Q28" i="71"/>
  <c r="R28" i="71"/>
  <c r="S28" i="71"/>
  <c r="T28" i="71"/>
  <c r="U28" i="71"/>
  <c r="V28" i="71"/>
  <c r="W28" i="71"/>
  <c r="X28" i="71"/>
  <c r="Y28" i="71"/>
  <c r="Z28" i="71"/>
  <c r="AA28" i="71"/>
  <c r="E28" i="71"/>
  <c r="E3" i="71"/>
  <c r="E18" i="71" s="1"/>
  <c r="F3" i="71"/>
  <c r="F18" i="71" s="1"/>
  <c r="G3" i="71"/>
  <c r="G18" i="71" s="1"/>
  <c r="H3" i="71"/>
  <c r="H18" i="71" s="1"/>
  <c r="I3" i="71"/>
  <c r="I18" i="71" s="1"/>
  <c r="J3" i="71"/>
  <c r="J18" i="71" s="1"/>
  <c r="K3" i="71"/>
  <c r="K18" i="71" s="1"/>
  <c r="L3" i="71"/>
  <c r="L18" i="71" s="1"/>
  <c r="M3" i="71"/>
  <c r="M18" i="71" s="1"/>
  <c r="N3" i="71"/>
  <c r="O3" i="71"/>
  <c r="O18" i="71" s="1"/>
  <c r="P3" i="71"/>
  <c r="P18" i="71" s="1"/>
  <c r="Q3" i="71"/>
  <c r="Q18" i="71" s="1"/>
  <c r="R3" i="71"/>
  <c r="R18" i="71" s="1"/>
  <c r="S3" i="71"/>
  <c r="S18" i="71" s="1"/>
  <c r="T3" i="71"/>
  <c r="T18" i="71" s="1"/>
  <c r="U3" i="71"/>
  <c r="U18" i="71" s="1"/>
  <c r="V3" i="71"/>
  <c r="V18" i="71" s="1"/>
  <c r="W3" i="71"/>
  <c r="W18" i="71" s="1"/>
  <c r="X3" i="71"/>
  <c r="X18" i="71" s="1"/>
  <c r="Y3" i="71"/>
  <c r="Y18" i="71" s="1"/>
  <c r="Z3" i="71"/>
  <c r="Z18" i="71" s="1"/>
  <c r="AA3" i="71"/>
  <c r="AA18" i="71" s="1"/>
  <c r="AB3" i="71"/>
  <c r="AB18" i="71" s="1"/>
  <c r="E4" i="71"/>
  <c r="E19" i="71" s="1"/>
  <c r="F4" i="71"/>
  <c r="F19" i="71" s="1"/>
  <c r="G4" i="71"/>
  <c r="G19" i="71" s="1"/>
  <c r="H4" i="71"/>
  <c r="H19" i="71" s="1"/>
  <c r="I4" i="71"/>
  <c r="I19" i="71" s="1"/>
  <c r="J4" i="71"/>
  <c r="J19" i="71" s="1"/>
  <c r="K4" i="71"/>
  <c r="K19" i="71" s="1"/>
  <c r="L4" i="71"/>
  <c r="L19" i="71" s="1"/>
  <c r="M4" i="71"/>
  <c r="M19" i="71" s="1"/>
  <c r="N4" i="71"/>
  <c r="N19" i="71" s="1"/>
  <c r="O4" i="71"/>
  <c r="O19" i="71" s="1"/>
  <c r="P4" i="71"/>
  <c r="P19" i="71" s="1"/>
  <c r="Q4" i="71"/>
  <c r="Q19" i="71" s="1"/>
  <c r="R4" i="71"/>
  <c r="R19" i="71" s="1"/>
  <c r="S4" i="71"/>
  <c r="S19" i="71" s="1"/>
  <c r="T4" i="71"/>
  <c r="T19" i="71" s="1"/>
  <c r="U4" i="71"/>
  <c r="U19" i="71" s="1"/>
  <c r="V4" i="71"/>
  <c r="V19" i="71" s="1"/>
  <c r="W4" i="71"/>
  <c r="W19" i="71" s="1"/>
  <c r="X4" i="71"/>
  <c r="X19" i="71" s="1"/>
  <c r="Y4" i="71"/>
  <c r="Y19" i="71" s="1"/>
  <c r="Z4" i="71"/>
  <c r="Z19" i="71" s="1"/>
  <c r="AA4" i="71"/>
  <c r="AA19" i="71" s="1"/>
  <c r="AB4" i="71"/>
  <c r="AB19" i="71" s="1"/>
  <c r="E5" i="71"/>
  <c r="E20" i="71" s="1"/>
  <c r="F5" i="71"/>
  <c r="F20" i="71" s="1"/>
  <c r="G5" i="71"/>
  <c r="G20" i="71" s="1"/>
  <c r="H5" i="71"/>
  <c r="H20" i="71" s="1"/>
  <c r="I5" i="71"/>
  <c r="I20" i="71" s="1"/>
  <c r="J5" i="71"/>
  <c r="J20" i="71" s="1"/>
  <c r="K5" i="71"/>
  <c r="K20" i="71" s="1"/>
  <c r="L5" i="71"/>
  <c r="L20" i="71" s="1"/>
  <c r="M5" i="71"/>
  <c r="M20" i="71" s="1"/>
  <c r="N5" i="71"/>
  <c r="N20" i="71" s="1"/>
  <c r="O5" i="71"/>
  <c r="O20" i="71" s="1"/>
  <c r="P5" i="71"/>
  <c r="P20" i="71" s="1"/>
  <c r="Q5" i="71"/>
  <c r="Q20" i="71" s="1"/>
  <c r="R5" i="71"/>
  <c r="R20" i="71" s="1"/>
  <c r="S5" i="71"/>
  <c r="S20" i="71" s="1"/>
  <c r="T5" i="71"/>
  <c r="T20" i="71" s="1"/>
  <c r="U5" i="71"/>
  <c r="U20" i="71" s="1"/>
  <c r="V5" i="71"/>
  <c r="V20" i="71" s="1"/>
  <c r="W5" i="71"/>
  <c r="W20" i="71" s="1"/>
  <c r="X5" i="71"/>
  <c r="X20" i="71" s="1"/>
  <c r="Y5" i="71"/>
  <c r="Y20" i="71" s="1"/>
  <c r="Z5" i="71"/>
  <c r="Z20" i="71" s="1"/>
  <c r="AA5" i="71"/>
  <c r="AA20" i="71" s="1"/>
  <c r="AB5" i="71"/>
  <c r="AB20" i="71" s="1"/>
  <c r="E6" i="71"/>
  <c r="E21" i="71" s="1"/>
  <c r="F6" i="71"/>
  <c r="F21" i="71" s="1"/>
  <c r="G6" i="71"/>
  <c r="G21" i="71" s="1"/>
  <c r="H6" i="71"/>
  <c r="H21" i="71" s="1"/>
  <c r="I6" i="71"/>
  <c r="I21" i="71" s="1"/>
  <c r="J6" i="71"/>
  <c r="J21" i="71" s="1"/>
  <c r="K6" i="71"/>
  <c r="K21" i="71" s="1"/>
  <c r="L6" i="71"/>
  <c r="L21" i="71" s="1"/>
  <c r="M6" i="71"/>
  <c r="M21" i="71" s="1"/>
  <c r="N6" i="71"/>
  <c r="N21" i="71" s="1"/>
  <c r="O6" i="71"/>
  <c r="O21" i="71" s="1"/>
  <c r="P6" i="71"/>
  <c r="P21" i="71" s="1"/>
  <c r="Q6" i="71"/>
  <c r="Q21" i="71" s="1"/>
  <c r="R6" i="71"/>
  <c r="R21" i="71" s="1"/>
  <c r="S6" i="71"/>
  <c r="S21" i="71" s="1"/>
  <c r="T6" i="71"/>
  <c r="T21" i="71" s="1"/>
  <c r="U6" i="71"/>
  <c r="U21" i="71" s="1"/>
  <c r="V6" i="71"/>
  <c r="V21" i="71" s="1"/>
  <c r="W6" i="71"/>
  <c r="W21" i="71" s="1"/>
  <c r="X6" i="71"/>
  <c r="X21" i="71" s="1"/>
  <c r="Y6" i="71"/>
  <c r="Y21" i="71" s="1"/>
  <c r="Z6" i="71"/>
  <c r="Z21" i="71" s="1"/>
  <c r="AA6" i="71"/>
  <c r="AA21" i="71" s="1"/>
  <c r="AB6" i="71"/>
  <c r="AB21" i="71" s="1"/>
  <c r="E7" i="71"/>
  <c r="E22" i="71" s="1"/>
  <c r="F7" i="71"/>
  <c r="F22" i="71" s="1"/>
  <c r="G7" i="71"/>
  <c r="G22" i="71" s="1"/>
  <c r="H7" i="71"/>
  <c r="H22" i="71" s="1"/>
  <c r="I7" i="71"/>
  <c r="I22" i="71" s="1"/>
  <c r="J7" i="71"/>
  <c r="J22" i="71" s="1"/>
  <c r="K7" i="71"/>
  <c r="K22" i="71" s="1"/>
  <c r="L7" i="71"/>
  <c r="L22" i="71" s="1"/>
  <c r="M7" i="71"/>
  <c r="M22" i="71" s="1"/>
  <c r="N7" i="71"/>
  <c r="N22" i="71" s="1"/>
  <c r="O7" i="71"/>
  <c r="O22" i="71" s="1"/>
  <c r="P7" i="71"/>
  <c r="P22" i="71" s="1"/>
  <c r="Q7" i="71"/>
  <c r="Q22" i="71" s="1"/>
  <c r="R7" i="71"/>
  <c r="R22" i="71" s="1"/>
  <c r="S7" i="71"/>
  <c r="S22" i="71" s="1"/>
  <c r="T7" i="71"/>
  <c r="T22" i="71" s="1"/>
  <c r="U7" i="71"/>
  <c r="U22" i="71" s="1"/>
  <c r="V7" i="71"/>
  <c r="V22" i="71" s="1"/>
  <c r="W7" i="71"/>
  <c r="W22" i="71" s="1"/>
  <c r="X7" i="71"/>
  <c r="X22" i="71" s="1"/>
  <c r="Y7" i="71"/>
  <c r="Y22" i="71" s="1"/>
  <c r="Z7" i="71"/>
  <c r="Z22" i="71" s="1"/>
  <c r="AA7" i="71"/>
  <c r="AA22" i="71" s="1"/>
  <c r="AB7" i="71"/>
  <c r="AB22" i="71" s="1"/>
  <c r="E8" i="71"/>
  <c r="E23" i="71" s="1"/>
  <c r="F8" i="71"/>
  <c r="F23" i="71" s="1"/>
  <c r="G8" i="71"/>
  <c r="G23" i="71" s="1"/>
  <c r="H8" i="71"/>
  <c r="H23" i="71" s="1"/>
  <c r="I8" i="71"/>
  <c r="I23" i="71" s="1"/>
  <c r="J8" i="71"/>
  <c r="J23" i="71" s="1"/>
  <c r="K8" i="71"/>
  <c r="K23" i="71" s="1"/>
  <c r="L8" i="71"/>
  <c r="L23" i="71" s="1"/>
  <c r="M8" i="71"/>
  <c r="M23" i="71" s="1"/>
  <c r="N8" i="71"/>
  <c r="N23" i="71" s="1"/>
  <c r="O8" i="71"/>
  <c r="O23" i="71" s="1"/>
  <c r="P8" i="71"/>
  <c r="P23" i="71" s="1"/>
  <c r="Q8" i="71"/>
  <c r="Q23" i="71" s="1"/>
  <c r="R8" i="71"/>
  <c r="R23" i="71" s="1"/>
  <c r="S8" i="71"/>
  <c r="S23" i="71" s="1"/>
  <c r="T8" i="71"/>
  <c r="T23" i="71" s="1"/>
  <c r="U8" i="71"/>
  <c r="U23" i="71" s="1"/>
  <c r="V8" i="71"/>
  <c r="V23" i="71" s="1"/>
  <c r="W8" i="71"/>
  <c r="W23" i="71" s="1"/>
  <c r="X8" i="71"/>
  <c r="X23" i="71" s="1"/>
  <c r="Y8" i="71"/>
  <c r="Y23" i="71" s="1"/>
  <c r="Z8" i="71"/>
  <c r="Z23" i="71" s="1"/>
  <c r="AA8" i="71"/>
  <c r="AA23" i="71" s="1"/>
  <c r="AB8" i="71"/>
  <c r="AB23" i="71" s="1"/>
  <c r="E9" i="71"/>
  <c r="E24" i="71" s="1"/>
  <c r="F9" i="71"/>
  <c r="F24" i="71" s="1"/>
  <c r="G9" i="71"/>
  <c r="G24" i="71" s="1"/>
  <c r="H9" i="71"/>
  <c r="H24" i="71" s="1"/>
  <c r="I9" i="71"/>
  <c r="I24" i="71" s="1"/>
  <c r="J9" i="71"/>
  <c r="J24" i="71" s="1"/>
  <c r="K9" i="71"/>
  <c r="K24" i="71" s="1"/>
  <c r="L9" i="71"/>
  <c r="L24" i="71" s="1"/>
  <c r="M9" i="71"/>
  <c r="M24" i="71" s="1"/>
  <c r="N9" i="71"/>
  <c r="N24" i="71" s="1"/>
  <c r="O9" i="71"/>
  <c r="O24" i="71" s="1"/>
  <c r="P9" i="71"/>
  <c r="P24" i="71" s="1"/>
  <c r="Q9" i="71"/>
  <c r="Q24" i="71" s="1"/>
  <c r="R9" i="71"/>
  <c r="R24" i="71" s="1"/>
  <c r="S9" i="71"/>
  <c r="S24" i="71" s="1"/>
  <c r="T9" i="71"/>
  <c r="T24" i="71" s="1"/>
  <c r="U9" i="71"/>
  <c r="U24" i="71" s="1"/>
  <c r="V9" i="71"/>
  <c r="V24" i="71" s="1"/>
  <c r="W9" i="71"/>
  <c r="W24" i="71" s="1"/>
  <c r="X9" i="71"/>
  <c r="X24" i="71" s="1"/>
  <c r="Y9" i="71"/>
  <c r="Y24" i="71" s="1"/>
  <c r="Z9" i="71"/>
  <c r="Z24" i="71" s="1"/>
  <c r="AA9" i="71"/>
  <c r="AA24" i="71" s="1"/>
  <c r="AB9" i="71"/>
  <c r="AB24" i="71" s="1"/>
  <c r="E10" i="71"/>
  <c r="E25" i="71" s="1"/>
  <c r="F10" i="71"/>
  <c r="F25" i="71" s="1"/>
  <c r="G10" i="71"/>
  <c r="G25" i="71" s="1"/>
  <c r="H10" i="71"/>
  <c r="H25" i="71" s="1"/>
  <c r="I10" i="71"/>
  <c r="I25" i="71" s="1"/>
  <c r="J10" i="71"/>
  <c r="J25" i="71" s="1"/>
  <c r="K10" i="71"/>
  <c r="K25" i="71" s="1"/>
  <c r="L10" i="71"/>
  <c r="L25" i="71" s="1"/>
  <c r="M10" i="71"/>
  <c r="M25" i="71" s="1"/>
  <c r="N10" i="71"/>
  <c r="N25" i="71" s="1"/>
  <c r="O10" i="71"/>
  <c r="O25" i="71" s="1"/>
  <c r="P10" i="71"/>
  <c r="P25" i="71" s="1"/>
  <c r="Q10" i="71"/>
  <c r="Q25" i="71" s="1"/>
  <c r="R10" i="71"/>
  <c r="R25" i="71" s="1"/>
  <c r="S10" i="71"/>
  <c r="S25" i="71" s="1"/>
  <c r="T10" i="71"/>
  <c r="T25" i="71" s="1"/>
  <c r="U10" i="71"/>
  <c r="U25" i="71" s="1"/>
  <c r="V10" i="71"/>
  <c r="V25" i="71" s="1"/>
  <c r="W10" i="71"/>
  <c r="W25" i="71" s="1"/>
  <c r="X10" i="71"/>
  <c r="X25" i="71" s="1"/>
  <c r="Y10" i="71"/>
  <c r="Y25" i="71" s="1"/>
  <c r="Z10" i="71"/>
  <c r="Z25" i="71" s="1"/>
  <c r="AA10" i="71"/>
  <c r="AA25" i="71" s="1"/>
  <c r="AB10" i="71"/>
  <c r="AB25" i="71" s="1"/>
  <c r="E11" i="71"/>
  <c r="E26" i="71" s="1"/>
  <c r="F11" i="71"/>
  <c r="F26" i="71" s="1"/>
  <c r="G11" i="71"/>
  <c r="G26" i="71" s="1"/>
  <c r="H11" i="71"/>
  <c r="H26" i="71" s="1"/>
  <c r="I11" i="71"/>
  <c r="I26" i="71" s="1"/>
  <c r="J11" i="71"/>
  <c r="J26" i="71" s="1"/>
  <c r="K11" i="71"/>
  <c r="K26" i="71" s="1"/>
  <c r="L11" i="71"/>
  <c r="L26" i="71" s="1"/>
  <c r="M11" i="71"/>
  <c r="M26" i="71" s="1"/>
  <c r="N11" i="71"/>
  <c r="N26" i="71" s="1"/>
  <c r="O11" i="71"/>
  <c r="O26" i="71" s="1"/>
  <c r="P11" i="71"/>
  <c r="P26" i="71" s="1"/>
  <c r="Q11" i="71"/>
  <c r="Q26" i="71" s="1"/>
  <c r="R11" i="71"/>
  <c r="R26" i="71" s="1"/>
  <c r="S11" i="71"/>
  <c r="S26" i="71" s="1"/>
  <c r="T11" i="71"/>
  <c r="T26" i="71" s="1"/>
  <c r="U11" i="71"/>
  <c r="U26" i="71" s="1"/>
  <c r="V11" i="71"/>
  <c r="V26" i="71" s="1"/>
  <c r="W11" i="71"/>
  <c r="W26" i="71" s="1"/>
  <c r="X11" i="71"/>
  <c r="X26" i="71" s="1"/>
  <c r="Y11" i="71"/>
  <c r="Y26" i="71" s="1"/>
  <c r="Z11" i="71"/>
  <c r="Z26" i="71" s="1"/>
  <c r="AA11" i="71"/>
  <c r="AA26" i="71" s="1"/>
  <c r="AB11" i="71"/>
  <c r="AB26" i="71" s="1"/>
  <c r="E12" i="71"/>
  <c r="E27" i="71" s="1"/>
  <c r="F12" i="71"/>
  <c r="F27" i="71" s="1"/>
  <c r="G12" i="71"/>
  <c r="G27" i="71" s="1"/>
  <c r="H12" i="71"/>
  <c r="H27" i="71" s="1"/>
  <c r="I12" i="71"/>
  <c r="I27" i="71" s="1"/>
  <c r="J12" i="71"/>
  <c r="J27" i="71" s="1"/>
  <c r="K12" i="71"/>
  <c r="K27" i="71" s="1"/>
  <c r="L12" i="71"/>
  <c r="L27" i="71" s="1"/>
  <c r="M12" i="71"/>
  <c r="M27" i="71" s="1"/>
  <c r="N12" i="71"/>
  <c r="N27" i="71" s="1"/>
  <c r="O12" i="71"/>
  <c r="O27" i="71" s="1"/>
  <c r="P12" i="71"/>
  <c r="P27" i="71" s="1"/>
  <c r="Q12" i="71"/>
  <c r="Q27" i="71" s="1"/>
  <c r="R12" i="71"/>
  <c r="R27" i="71" s="1"/>
  <c r="S12" i="71"/>
  <c r="S27" i="71" s="1"/>
  <c r="T12" i="71"/>
  <c r="T27" i="71" s="1"/>
  <c r="U12" i="71"/>
  <c r="U27" i="71" s="1"/>
  <c r="V12" i="71"/>
  <c r="V27" i="71" s="1"/>
  <c r="W12" i="71"/>
  <c r="W27" i="71" s="1"/>
  <c r="X12" i="71"/>
  <c r="X27" i="71" s="1"/>
  <c r="Y12" i="71"/>
  <c r="Y27" i="71" s="1"/>
  <c r="Z12" i="71"/>
  <c r="Z27" i="71" s="1"/>
  <c r="AA12" i="71"/>
  <c r="AA27" i="71" s="1"/>
  <c r="AB12" i="71"/>
  <c r="AB27" i="71" s="1"/>
  <c r="F2" i="71"/>
  <c r="F17" i="71" s="1"/>
  <c r="G2" i="71"/>
  <c r="H2" i="71"/>
  <c r="H17" i="71" s="1"/>
  <c r="I2" i="71"/>
  <c r="J2" i="71"/>
  <c r="J17" i="71" s="1"/>
  <c r="K2" i="71"/>
  <c r="K17" i="71" s="1"/>
  <c r="L2" i="71"/>
  <c r="L17" i="71" s="1"/>
  <c r="M2" i="71"/>
  <c r="N2" i="71"/>
  <c r="N17" i="71" s="1"/>
  <c r="O2" i="71"/>
  <c r="P2" i="71"/>
  <c r="P17" i="71" s="1"/>
  <c r="Q2" i="71"/>
  <c r="R2" i="71"/>
  <c r="R17" i="71" s="1"/>
  <c r="S2" i="71"/>
  <c r="S17" i="71" s="1"/>
  <c r="T2" i="71"/>
  <c r="T17" i="71" s="1"/>
  <c r="U2" i="71"/>
  <c r="V2" i="71"/>
  <c r="V17" i="71" s="1"/>
  <c r="W2" i="71"/>
  <c r="X2" i="71"/>
  <c r="X17" i="71" s="1"/>
  <c r="Y2" i="71"/>
  <c r="Z2" i="71"/>
  <c r="Z17" i="71" s="1"/>
  <c r="AA2" i="71"/>
  <c r="AA17" i="71" s="1"/>
  <c r="AB2" i="71"/>
  <c r="AB17" i="71" s="1"/>
  <c r="E2" i="71"/>
  <c r="E17" i="71" s="1"/>
  <c r="E55" i="70"/>
  <c r="F55" i="70"/>
  <c r="G55" i="70"/>
  <c r="H55" i="70"/>
  <c r="I55" i="70"/>
  <c r="J55" i="70"/>
  <c r="K55" i="70"/>
  <c r="L55" i="70"/>
  <c r="E56" i="70"/>
  <c r="F56" i="70"/>
  <c r="G56" i="70"/>
  <c r="H56" i="70"/>
  <c r="I56" i="70"/>
  <c r="J56" i="70"/>
  <c r="K56" i="70"/>
  <c r="L56" i="70"/>
  <c r="E57" i="70"/>
  <c r="F57" i="70"/>
  <c r="G57" i="70"/>
  <c r="H57" i="70"/>
  <c r="I57" i="70"/>
  <c r="J57" i="70"/>
  <c r="K57" i="70"/>
  <c r="L57" i="70"/>
  <c r="E58" i="70"/>
  <c r="F58" i="70"/>
  <c r="G58" i="70"/>
  <c r="H58" i="70"/>
  <c r="I58" i="70"/>
  <c r="J58" i="70"/>
  <c r="K58" i="70"/>
  <c r="L58" i="70"/>
  <c r="E59" i="70"/>
  <c r="F59" i="70"/>
  <c r="G59" i="70"/>
  <c r="H59" i="70"/>
  <c r="I59" i="70"/>
  <c r="J59" i="70"/>
  <c r="K59" i="70"/>
  <c r="L59" i="70"/>
  <c r="E60" i="70"/>
  <c r="F60" i="70"/>
  <c r="G60" i="70"/>
  <c r="H60" i="70"/>
  <c r="I60" i="70"/>
  <c r="J60" i="70"/>
  <c r="K60" i="70"/>
  <c r="L60" i="70"/>
  <c r="E61" i="70"/>
  <c r="F61" i="70"/>
  <c r="G61" i="70"/>
  <c r="H61" i="70"/>
  <c r="I61" i="70"/>
  <c r="J61" i="70"/>
  <c r="K61" i="70"/>
  <c r="L61" i="70"/>
  <c r="E62" i="70"/>
  <c r="F62" i="70"/>
  <c r="G62" i="70"/>
  <c r="H62" i="70"/>
  <c r="I62" i="70"/>
  <c r="J62" i="70"/>
  <c r="K62" i="70"/>
  <c r="L62" i="70"/>
  <c r="E63" i="70"/>
  <c r="F63" i="70"/>
  <c r="G63" i="70"/>
  <c r="H63" i="70"/>
  <c r="I63" i="70"/>
  <c r="J63" i="70"/>
  <c r="K63" i="70"/>
  <c r="L63" i="70"/>
  <c r="E64" i="70"/>
  <c r="F64" i="70"/>
  <c r="G64" i="70"/>
  <c r="H64" i="70"/>
  <c r="I64" i="70"/>
  <c r="J64" i="70"/>
  <c r="K64" i="70"/>
  <c r="L64" i="70"/>
  <c r="L54" i="70"/>
  <c r="K54" i="70"/>
  <c r="J54" i="70"/>
  <c r="I54" i="70"/>
  <c r="H54" i="70"/>
  <c r="G54" i="70"/>
  <c r="F54" i="70"/>
  <c r="E54" i="70"/>
  <c r="I40" i="70"/>
  <c r="J40" i="70"/>
  <c r="K40" i="70"/>
  <c r="L40" i="70"/>
  <c r="I41" i="70"/>
  <c r="I101" i="70" s="1"/>
  <c r="J41" i="70"/>
  <c r="K41" i="70"/>
  <c r="K101" i="70" s="1"/>
  <c r="L41" i="70"/>
  <c r="L101" i="70" s="1"/>
  <c r="I42" i="70"/>
  <c r="J42" i="70"/>
  <c r="K42" i="70"/>
  <c r="L42" i="70"/>
  <c r="I43" i="70"/>
  <c r="I103" i="70" s="1"/>
  <c r="J43" i="70"/>
  <c r="K43" i="70"/>
  <c r="K103" i="70" s="1"/>
  <c r="L43" i="70"/>
  <c r="L103" i="70" s="1"/>
  <c r="I44" i="70"/>
  <c r="J44" i="70"/>
  <c r="K44" i="70"/>
  <c r="L44" i="70"/>
  <c r="I45" i="70"/>
  <c r="I105" i="70" s="1"/>
  <c r="J45" i="70"/>
  <c r="J105" i="70" s="1"/>
  <c r="K45" i="70"/>
  <c r="K105" i="70" s="1"/>
  <c r="L45" i="70"/>
  <c r="L105" i="70" s="1"/>
  <c r="I46" i="70"/>
  <c r="J46" i="70"/>
  <c r="K46" i="70"/>
  <c r="L46" i="70"/>
  <c r="I47" i="70"/>
  <c r="I107" i="70" s="1"/>
  <c r="J47" i="70"/>
  <c r="K47" i="70"/>
  <c r="K107" i="70" s="1"/>
  <c r="L47" i="70"/>
  <c r="L107" i="70" s="1"/>
  <c r="I48" i="70"/>
  <c r="J48" i="70"/>
  <c r="K48" i="70"/>
  <c r="L48" i="70"/>
  <c r="I49" i="70"/>
  <c r="I109" i="70" s="1"/>
  <c r="J49" i="70"/>
  <c r="K49" i="70"/>
  <c r="K109" i="70" s="1"/>
  <c r="L49" i="70"/>
  <c r="L109" i="70" s="1"/>
  <c r="L39" i="70"/>
  <c r="L99" i="70" s="1"/>
  <c r="K39" i="70"/>
  <c r="K99" i="70" s="1"/>
  <c r="J39" i="70"/>
  <c r="J99" i="70" s="1"/>
  <c r="I39" i="70"/>
  <c r="I99" i="70" s="1"/>
  <c r="E40" i="70"/>
  <c r="F40" i="70"/>
  <c r="F100" i="70" s="1"/>
  <c r="G40" i="70"/>
  <c r="G100" i="70" s="1"/>
  <c r="H40" i="70"/>
  <c r="E41" i="70"/>
  <c r="E101" i="70" s="1"/>
  <c r="F41" i="70"/>
  <c r="G41" i="70"/>
  <c r="G101" i="70" s="1"/>
  <c r="H41" i="70"/>
  <c r="H101" i="70" s="1"/>
  <c r="E42" i="70"/>
  <c r="F42" i="70"/>
  <c r="F102" i="70" s="1"/>
  <c r="G42" i="70"/>
  <c r="G102" i="70" s="1"/>
  <c r="H42" i="70"/>
  <c r="E43" i="70"/>
  <c r="E103" i="70" s="1"/>
  <c r="F43" i="70"/>
  <c r="F103" i="70" s="1"/>
  <c r="G43" i="70"/>
  <c r="G103" i="70" s="1"/>
  <c r="H43" i="70"/>
  <c r="E44" i="70"/>
  <c r="F44" i="70"/>
  <c r="F104" i="70" s="1"/>
  <c r="G44" i="70"/>
  <c r="G104" i="70" s="1"/>
  <c r="H44" i="70"/>
  <c r="E45" i="70"/>
  <c r="E105" i="70" s="1"/>
  <c r="F45" i="70"/>
  <c r="F105" i="70" s="1"/>
  <c r="G45" i="70"/>
  <c r="G105" i="70" s="1"/>
  <c r="H45" i="70"/>
  <c r="H105" i="70" s="1"/>
  <c r="E46" i="70"/>
  <c r="F46" i="70"/>
  <c r="F106" i="70" s="1"/>
  <c r="G46" i="70"/>
  <c r="G106" i="70" s="1"/>
  <c r="H46" i="70"/>
  <c r="E47" i="70"/>
  <c r="E107" i="70" s="1"/>
  <c r="F47" i="70"/>
  <c r="F107" i="70" s="1"/>
  <c r="G47" i="70"/>
  <c r="G107" i="70" s="1"/>
  <c r="H47" i="70"/>
  <c r="H107" i="70" s="1"/>
  <c r="E48" i="70"/>
  <c r="F48" i="70"/>
  <c r="F108" i="70" s="1"/>
  <c r="G48" i="70"/>
  <c r="G108" i="70" s="1"/>
  <c r="H48" i="70"/>
  <c r="E49" i="70"/>
  <c r="E109" i="70" s="1"/>
  <c r="F49" i="70"/>
  <c r="F109" i="70" s="1"/>
  <c r="G49" i="70"/>
  <c r="G109" i="70" s="1"/>
  <c r="H49" i="70"/>
  <c r="H109" i="70" s="1"/>
  <c r="H39" i="70"/>
  <c r="G39" i="70"/>
  <c r="G99" i="70" s="1"/>
  <c r="E39" i="70"/>
  <c r="F39" i="70"/>
  <c r="I3" i="70"/>
  <c r="J3" i="70"/>
  <c r="K3" i="70"/>
  <c r="L3" i="70"/>
  <c r="I4" i="70"/>
  <c r="J4" i="70"/>
  <c r="K4" i="70"/>
  <c r="L4" i="70"/>
  <c r="I5" i="70"/>
  <c r="J5" i="70"/>
  <c r="K5" i="70"/>
  <c r="L5" i="70"/>
  <c r="I6" i="70"/>
  <c r="J6" i="70"/>
  <c r="K6" i="70"/>
  <c r="L6" i="70"/>
  <c r="I7" i="70"/>
  <c r="J7" i="70"/>
  <c r="K7" i="70"/>
  <c r="L7" i="70"/>
  <c r="I8" i="70"/>
  <c r="J8" i="70"/>
  <c r="K8" i="70"/>
  <c r="L8" i="70"/>
  <c r="I9" i="70"/>
  <c r="J9" i="70"/>
  <c r="K9" i="70"/>
  <c r="L9" i="70"/>
  <c r="I10" i="70"/>
  <c r="J10" i="70"/>
  <c r="K10" i="70"/>
  <c r="L10" i="70"/>
  <c r="I11" i="70"/>
  <c r="J11" i="70"/>
  <c r="K11" i="70"/>
  <c r="L11" i="70"/>
  <c r="I12" i="70"/>
  <c r="J12" i="70"/>
  <c r="K12" i="70"/>
  <c r="L12" i="70"/>
  <c r="L2" i="70"/>
  <c r="K2" i="70"/>
  <c r="J2" i="70"/>
  <c r="I2" i="70"/>
  <c r="I14" i="70" s="1"/>
  <c r="H3" i="70"/>
  <c r="H4" i="70"/>
  <c r="H5" i="70"/>
  <c r="H6" i="70"/>
  <c r="H7" i="70"/>
  <c r="H8" i="70"/>
  <c r="H9" i="70"/>
  <c r="H10" i="70"/>
  <c r="H11" i="70"/>
  <c r="H12" i="70"/>
  <c r="H2" i="70"/>
  <c r="G3" i="70"/>
  <c r="G4" i="70"/>
  <c r="G5" i="70"/>
  <c r="G6" i="70"/>
  <c r="G7" i="70"/>
  <c r="G8" i="70"/>
  <c r="G9" i="70"/>
  <c r="G10" i="70"/>
  <c r="G11" i="70"/>
  <c r="G12" i="70"/>
  <c r="G2" i="70"/>
  <c r="F3" i="70"/>
  <c r="F4" i="70"/>
  <c r="F5" i="70"/>
  <c r="F6" i="70"/>
  <c r="F7" i="70"/>
  <c r="F8" i="70"/>
  <c r="F9" i="70"/>
  <c r="F10" i="70"/>
  <c r="F11" i="70"/>
  <c r="F12" i="70"/>
  <c r="F2" i="70"/>
  <c r="E2" i="70"/>
  <c r="E3" i="70"/>
  <c r="E4" i="70"/>
  <c r="E5" i="70"/>
  <c r="E6" i="70"/>
  <c r="E7" i="70"/>
  <c r="E8" i="70"/>
  <c r="E9" i="70"/>
  <c r="E10" i="70"/>
  <c r="E11" i="70"/>
  <c r="E12" i="70"/>
  <c r="F40" i="63"/>
  <c r="F41" i="63"/>
  <c r="F42" i="63"/>
  <c r="F43" i="63"/>
  <c r="F44" i="63"/>
  <c r="F45" i="63"/>
  <c r="F46" i="63"/>
  <c r="F47" i="63"/>
  <c r="F48" i="63"/>
  <c r="F49" i="63"/>
  <c r="F50" i="63"/>
  <c r="F39" i="63"/>
  <c r="E40" i="63"/>
  <c r="E41" i="63"/>
  <c r="E42" i="63"/>
  <c r="E43" i="63"/>
  <c r="E44" i="63"/>
  <c r="E45" i="63"/>
  <c r="E46" i="63"/>
  <c r="E47" i="63"/>
  <c r="E48" i="63"/>
  <c r="E49" i="63"/>
  <c r="E50" i="63"/>
  <c r="E39" i="63"/>
  <c r="H108" i="70" l="1"/>
  <c r="H106" i="70"/>
  <c r="H104" i="70"/>
  <c r="H102" i="70"/>
  <c r="H100" i="70"/>
  <c r="E108" i="70"/>
  <c r="E106" i="70"/>
  <c r="E104" i="70"/>
  <c r="E100" i="70"/>
  <c r="H14" i="70"/>
  <c r="E14" i="70"/>
  <c r="E99" i="70"/>
  <c r="L108" i="70"/>
  <c r="L106" i="70"/>
  <c r="L104" i="70"/>
  <c r="L102" i="70"/>
  <c r="L100" i="70"/>
  <c r="G14" i="70"/>
  <c r="K108" i="70"/>
  <c r="K106" i="70"/>
  <c r="K104" i="70"/>
  <c r="K102" i="70"/>
  <c r="K100" i="70"/>
  <c r="F99" i="70"/>
  <c r="V114" i="71"/>
  <c r="H21" i="70"/>
  <c r="H103" i="70"/>
  <c r="E114" i="71"/>
  <c r="U114" i="71"/>
  <c r="M114" i="71"/>
  <c r="V99" i="71"/>
  <c r="N99" i="71"/>
  <c r="F99" i="71"/>
  <c r="AB114" i="71"/>
  <c r="T114" i="71"/>
  <c r="L114" i="71"/>
  <c r="F19" i="70"/>
  <c r="F101" i="70"/>
  <c r="J26" i="70"/>
  <c r="J108" i="70"/>
  <c r="J24" i="70"/>
  <c r="J106" i="70"/>
  <c r="J22" i="70"/>
  <c r="J104" i="70"/>
  <c r="J20" i="70"/>
  <c r="J102" i="70"/>
  <c r="J18" i="70"/>
  <c r="J100" i="70"/>
  <c r="AA114" i="71"/>
  <c r="S114" i="71"/>
  <c r="K114" i="71"/>
  <c r="F114" i="71"/>
  <c r="I108" i="70"/>
  <c r="I106" i="70"/>
  <c r="I104" i="70"/>
  <c r="I102" i="70"/>
  <c r="I100" i="70"/>
  <c r="Z114" i="71"/>
  <c r="R114" i="71"/>
  <c r="J114" i="71"/>
  <c r="H17" i="70"/>
  <c r="H99" i="70"/>
  <c r="H111" i="70" s="1"/>
  <c r="N114" i="71"/>
  <c r="Y114" i="71"/>
  <c r="Q114" i="71"/>
  <c r="I114" i="71"/>
  <c r="G111" i="70"/>
  <c r="X114" i="71"/>
  <c r="P114" i="71"/>
  <c r="H114" i="71"/>
  <c r="E20" i="70"/>
  <c r="E102" i="70"/>
  <c r="J27" i="70"/>
  <c r="J109" i="70"/>
  <c r="J25" i="70"/>
  <c r="J107" i="70"/>
  <c r="J21" i="70"/>
  <c r="J103" i="70"/>
  <c r="J19" i="70"/>
  <c r="J101" i="70"/>
  <c r="W114" i="71"/>
  <c r="O114" i="71"/>
  <c r="G114" i="71"/>
  <c r="F72" i="70"/>
  <c r="AA99" i="71"/>
  <c r="S99" i="71"/>
  <c r="K99" i="71"/>
  <c r="W99" i="71"/>
  <c r="O99" i="71"/>
  <c r="G99" i="71"/>
  <c r="U99" i="71"/>
  <c r="M99" i="71"/>
  <c r="AB99" i="71"/>
  <c r="T99" i="71"/>
  <c r="L99" i="71"/>
  <c r="E99" i="71"/>
  <c r="H14" i="71"/>
  <c r="Z99" i="71"/>
  <c r="R99" i="71"/>
  <c r="J99" i="71"/>
  <c r="Y99" i="71"/>
  <c r="Q99" i="71"/>
  <c r="I99" i="71"/>
  <c r="X99" i="71"/>
  <c r="P99" i="71"/>
  <c r="H99" i="71"/>
  <c r="E22" i="70"/>
  <c r="I27" i="70"/>
  <c r="I23" i="70"/>
  <c r="I17" i="70"/>
  <c r="L26" i="70"/>
  <c r="L18" i="70"/>
  <c r="G27" i="70"/>
  <c r="G25" i="70"/>
  <c r="G23" i="70"/>
  <c r="G21" i="70"/>
  <c r="G19" i="70"/>
  <c r="K26" i="70"/>
  <c r="K24" i="70"/>
  <c r="K22" i="70"/>
  <c r="K20" i="70"/>
  <c r="K18" i="70"/>
  <c r="I19" i="70"/>
  <c r="L20" i="70"/>
  <c r="L14" i="70"/>
  <c r="L17" i="70"/>
  <c r="I26" i="70"/>
  <c r="I22" i="70"/>
  <c r="I20" i="70"/>
  <c r="I18" i="70"/>
  <c r="L22" i="70"/>
  <c r="K14" i="70"/>
  <c r="H26" i="70"/>
  <c r="H24" i="70"/>
  <c r="H22" i="70"/>
  <c r="H20" i="70"/>
  <c r="H18" i="70"/>
  <c r="L27" i="70"/>
  <c r="L25" i="70"/>
  <c r="L23" i="70"/>
  <c r="L21" i="70"/>
  <c r="L19" i="70"/>
  <c r="I25" i="70"/>
  <c r="I21" i="70"/>
  <c r="L24" i="70"/>
  <c r="J14" i="70"/>
  <c r="G17" i="70"/>
  <c r="G26" i="70"/>
  <c r="G24" i="70"/>
  <c r="G22" i="70"/>
  <c r="G20" i="70"/>
  <c r="G18" i="70"/>
  <c r="K27" i="70"/>
  <c r="K25" i="70"/>
  <c r="K23" i="70"/>
  <c r="K21" i="70"/>
  <c r="K19" i="70"/>
  <c r="U14" i="71"/>
  <c r="M14" i="71"/>
  <c r="Y14" i="71"/>
  <c r="Q14" i="71"/>
  <c r="I14" i="71"/>
  <c r="W14" i="71"/>
  <c r="O14" i="71"/>
  <c r="G14" i="71"/>
  <c r="E77" i="70"/>
  <c r="AA14" i="71"/>
  <c r="S14" i="71"/>
  <c r="Y17" i="71"/>
  <c r="Q17" i="71"/>
  <c r="I17" i="71"/>
  <c r="J51" i="70"/>
  <c r="F20" i="70"/>
  <c r="X14" i="71"/>
  <c r="P14" i="71"/>
  <c r="W17" i="71"/>
  <c r="O17" i="71"/>
  <c r="G17" i="71"/>
  <c r="E79" i="70"/>
  <c r="E75" i="70"/>
  <c r="E73" i="70"/>
  <c r="E71" i="70"/>
  <c r="N14" i="71"/>
  <c r="N18" i="71"/>
  <c r="U17" i="71"/>
  <c r="M17" i="71"/>
  <c r="E19" i="70"/>
  <c r="E23" i="70"/>
  <c r="AB14" i="71"/>
  <c r="T14" i="71"/>
  <c r="E76" i="70"/>
  <c r="E72" i="70"/>
  <c r="Z14" i="71"/>
  <c r="R14" i="71"/>
  <c r="V14" i="71"/>
  <c r="E27" i="70"/>
  <c r="G78" i="70"/>
  <c r="G74" i="70"/>
  <c r="G70" i="70"/>
  <c r="E70" i="70"/>
  <c r="H76" i="70"/>
  <c r="H72" i="70"/>
  <c r="K14" i="71"/>
  <c r="E74" i="70"/>
  <c r="E18" i="70"/>
  <c r="E24" i="70"/>
  <c r="I76" i="70"/>
  <c r="E51" i="70"/>
  <c r="E29" i="70" s="1"/>
  <c r="K77" i="70"/>
  <c r="K71" i="70"/>
  <c r="L14" i="71"/>
  <c r="J14" i="71"/>
  <c r="G79" i="70"/>
  <c r="I69" i="70"/>
  <c r="H77" i="70"/>
  <c r="H73" i="70"/>
  <c r="G77" i="70"/>
  <c r="K69" i="70"/>
  <c r="G75" i="70"/>
  <c r="G71" i="70"/>
  <c r="K79" i="70"/>
  <c r="K75" i="70"/>
  <c r="K73" i="70"/>
  <c r="G73" i="70"/>
  <c r="G66" i="70"/>
  <c r="I79" i="70"/>
  <c r="I75" i="70"/>
  <c r="I71" i="70"/>
  <c r="H79" i="70"/>
  <c r="H75" i="70"/>
  <c r="H71" i="70"/>
  <c r="H66" i="70"/>
  <c r="I77" i="70"/>
  <c r="I73" i="70"/>
  <c r="H25" i="70"/>
  <c r="E14" i="71"/>
  <c r="F14" i="71"/>
  <c r="K51" i="70"/>
  <c r="K29" i="70" s="1"/>
  <c r="J69" i="70"/>
  <c r="G76" i="70"/>
  <c r="G72" i="70"/>
  <c r="F78" i="70"/>
  <c r="F74" i="70"/>
  <c r="F70" i="70"/>
  <c r="I66" i="70"/>
  <c r="J23" i="70"/>
  <c r="E69" i="70"/>
  <c r="L78" i="70"/>
  <c r="L77" i="70"/>
  <c r="L74" i="70"/>
  <c r="L73" i="70"/>
  <c r="L70" i="70"/>
  <c r="H27" i="70"/>
  <c r="H23" i="70"/>
  <c r="H19" i="70"/>
  <c r="F51" i="70"/>
  <c r="K78" i="70"/>
  <c r="K74" i="70"/>
  <c r="K70" i="70"/>
  <c r="J79" i="70"/>
  <c r="J77" i="70"/>
  <c r="J76" i="70"/>
  <c r="J75" i="70"/>
  <c r="J73" i="70"/>
  <c r="J72" i="70"/>
  <c r="I72" i="70"/>
  <c r="L51" i="70"/>
  <c r="L29" i="70" s="1"/>
  <c r="I24" i="70"/>
  <c r="K17" i="70"/>
  <c r="H51" i="70"/>
  <c r="H29" i="70" s="1"/>
  <c r="J17" i="70"/>
  <c r="G51" i="70"/>
  <c r="G29" i="70" s="1"/>
  <c r="J66" i="70"/>
  <c r="L79" i="70"/>
  <c r="J78" i="70"/>
  <c r="L75" i="70"/>
  <c r="J74" i="70"/>
  <c r="L71" i="70"/>
  <c r="J70" i="70"/>
  <c r="H69" i="70"/>
  <c r="I51" i="70"/>
  <c r="I78" i="70"/>
  <c r="I74" i="70"/>
  <c r="I70" i="70"/>
  <c r="G69" i="70"/>
  <c r="L66" i="70"/>
  <c r="H78" i="70"/>
  <c r="L76" i="70"/>
  <c r="H74" i="70"/>
  <c r="L72" i="70"/>
  <c r="J71" i="70"/>
  <c r="H70" i="70"/>
  <c r="K76" i="70"/>
  <c r="K72" i="70"/>
  <c r="K66" i="70"/>
  <c r="L69" i="70"/>
  <c r="E26" i="70"/>
  <c r="F26" i="70"/>
  <c r="F21" i="70"/>
  <c r="F22" i="70"/>
  <c r="F25" i="70"/>
  <c r="F69" i="70"/>
  <c r="F73" i="70"/>
  <c r="F77" i="70"/>
  <c r="F18" i="70"/>
  <c r="F27" i="70"/>
  <c r="F23" i="70"/>
  <c r="F76" i="70"/>
  <c r="F17" i="70"/>
  <c r="F71" i="70"/>
  <c r="F75" i="70"/>
  <c r="F79" i="70"/>
  <c r="F14" i="70"/>
  <c r="F24" i="70"/>
  <c r="E17" i="70"/>
  <c r="E21" i="70"/>
  <c r="E25" i="70"/>
  <c r="E66" i="70"/>
  <c r="F66" i="70"/>
  <c r="K111" i="70" l="1"/>
  <c r="E111" i="70"/>
  <c r="L111" i="70"/>
  <c r="F111" i="70"/>
  <c r="J111" i="70"/>
  <c r="I111" i="70"/>
  <c r="J81" i="70"/>
  <c r="J29" i="70"/>
  <c r="E96" i="70"/>
  <c r="K81" i="70"/>
  <c r="H96" i="70"/>
  <c r="K96" i="70"/>
  <c r="G96" i="70"/>
  <c r="L81" i="70"/>
  <c r="I29" i="70"/>
  <c r="I81" i="70"/>
  <c r="L96" i="70"/>
  <c r="I96" i="70"/>
  <c r="G81" i="70"/>
  <c r="H81" i="70"/>
  <c r="J96" i="70"/>
  <c r="F96" i="70"/>
  <c r="F29" i="70"/>
  <c r="E81" i="70"/>
  <c r="F81" i="70"/>
  <c r="F55" i="63" l="1"/>
  <c r="F100" i="63" s="1"/>
  <c r="F56" i="63"/>
  <c r="F101" i="63" s="1"/>
  <c r="F57" i="63"/>
  <c r="F102" i="63" s="1"/>
  <c r="F58" i="63"/>
  <c r="F103" i="63" s="1"/>
  <c r="F59" i="63"/>
  <c r="F104" i="63" s="1"/>
  <c r="F60" i="63"/>
  <c r="F105" i="63" s="1"/>
  <c r="F61" i="63"/>
  <c r="F106" i="63" s="1"/>
  <c r="F62" i="63"/>
  <c r="F107" i="63" s="1"/>
  <c r="F63" i="63"/>
  <c r="F108" i="63" s="1"/>
  <c r="F64" i="63"/>
  <c r="F109" i="63" s="1"/>
  <c r="F65" i="63"/>
  <c r="F110" i="63" s="1"/>
  <c r="F54" i="63"/>
  <c r="F99" i="63" s="1"/>
  <c r="E55" i="63"/>
  <c r="E100" i="63" s="1"/>
  <c r="E56" i="63"/>
  <c r="E101" i="63" s="1"/>
  <c r="E57" i="63"/>
  <c r="E102" i="63" s="1"/>
  <c r="E58" i="63"/>
  <c r="E103" i="63" s="1"/>
  <c r="E59" i="63"/>
  <c r="E104" i="63" s="1"/>
  <c r="E60" i="63"/>
  <c r="E105" i="63" s="1"/>
  <c r="E61" i="63"/>
  <c r="E106" i="63" s="1"/>
  <c r="E62" i="63"/>
  <c r="E107" i="63" s="1"/>
  <c r="E63" i="63"/>
  <c r="E108" i="63" s="1"/>
  <c r="E64" i="63"/>
  <c r="E109" i="63" s="1"/>
  <c r="E65" i="63"/>
  <c r="E110" i="63" s="1"/>
  <c r="E54" i="63"/>
  <c r="E99" i="63" s="1"/>
  <c r="F3" i="63"/>
  <c r="F18" i="63" s="1"/>
  <c r="F4" i="63"/>
  <c r="F19" i="63" s="1"/>
  <c r="F5" i="63"/>
  <c r="F20" i="63" s="1"/>
  <c r="F6" i="63"/>
  <c r="F21" i="63" s="1"/>
  <c r="F7" i="63"/>
  <c r="F22" i="63" s="1"/>
  <c r="F8" i="63"/>
  <c r="F23" i="63" s="1"/>
  <c r="F9" i="63"/>
  <c r="F24" i="63" s="1"/>
  <c r="F10" i="63"/>
  <c r="F25" i="63" s="1"/>
  <c r="F11" i="63"/>
  <c r="F26" i="63" s="1"/>
  <c r="F12" i="63"/>
  <c r="F27" i="63" s="1"/>
  <c r="F2" i="63"/>
  <c r="F17" i="63" s="1"/>
  <c r="E3" i="63"/>
  <c r="E18" i="63" s="1"/>
  <c r="E4" i="63"/>
  <c r="E19" i="63" s="1"/>
  <c r="E5" i="63"/>
  <c r="E20" i="63" s="1"/>
  <c r="E6" i="63"/>
  <c r="E21" i="63" s="1"/>
  <c r="E7" i="63"/>
  <c r="E22" i="63" s="1"/>
  <c r="E8" i="63"/>
  <c r="E23" i="63" s="1"/>
  <c r="E9" i="63"/>
  <c r="E24" i="63" s="1"/>
  <c r="E10" i="63"/>
  <c r="E25" i="63" s="1"/>
  <c r="E11" i="63"/>
  <c r="E26" i="63" s="1"/>
  <c r="E12" i="63"/>
  <c r="E27" i="63" s="1"/>
  <c r="E2" i="63"/>
  <c r="E17" i="63" s="1"/>
  <c r="F51" i="63"/>
  <c r="E51" i="63"/>
  <c r="F14" i="63"/>
  <c r="F29" i="63" l="1"/>
  <c r="E14" i="63"/>
  <c r="E29" i="63" s="1"/>
  <c r="F72" i="63"/>
  <c r="E75" i="63"/>
  <c r="E74" i="63"/>
  <c r="F79" i="63"/>
  <c r="F71" i="63"/>
  <c r="E69" i="63"/>
  <c r="E73" i="63"/>
  <c r="F78" i="63"/>
  <c r="F70" i="63"/>
  <c r="E72" i="63"/>
  <c r="F77" i="63"/>
  <c r="E79" i="63"/>
  <c r="E71" i="63"/>
  <c r="F76" i="63"/>
  <c r="E78" i="63"/>
  <c r="E70" i="63"/>
  <c r="F75" i="63"/>
  <c r="E77" i="63"/>
  <c r="E66" i="63"/>
  <c r="E81" i="63" s="1"/>
  <c r="F74" i="63"/>
  <c r="E76" i="63"/>
  <c r="F69" i="63"/>
  <c r="F73" i="63"/>
  <c r="F66" i="63"/>
  <c r="F81" i="63" s="1"/>
  <c r="E19" i="69"/>
  <c r="J6" i="60"/>
  <c r="L6" i="35" s="1"/>
  <c r="J3" i="60"/>
  <c r="L3" i="35" s="1"/>
  <c r="J2" i="60"/>
  <c r="L2" i="35" s="1"/>
  <c r="L4" i="35" s="1"/>
  <c r="L9" i="35" s="1"/>
  <c r="H3" i="60"/>
  <c r="H2" i="60"/>
  <c r="H2" i="35" s="1"/>
  <c r="H6" i="60"/>
  <c r="H6" i="35" s="1"/>
  <c r="G4" i="60"/>
  <c r="G9" i="60" s="1"/>
  <c r="I4" i="60"/>
  <c r="I9" i="60" s="1"/>
  <c r="F6" i="60"/>
  <c r="F2" i="60"/>
  <c r="E4" i="60"/>
  <c r="E9" i="60" s="1"/>
  <c r="F3" i="60"/>
  <c r="F111" i="63" l="1"/>
  <c r="E111" i="63"/>
  <c r="H4" i="60"/>
  <c r="H9" i="60" s="1"/>
  <c r="H3" i="35"/>
  <c r="H4" i="35" s="1"/>
  <c r="H9" i="35" s="1"/>
  <c r="F4" i="60"/>
  <c r="F9" i="60" s="1"/>
  <c r="E96" i="63"/>
  <c r="F96" i="63"/>
  <c r="J4" i="60"/>
  <c r="J9" i="60" s="1"/>
  <c r="AB69" i="71"/>
  <c r="AA69" i="71"/>
  <c r="Z69" i="71"/>
  <c r="Y69" i="71"/>
  <c r="X69" i="71"/>
  <c r="W69" i="71"/>
  <c r="V69" i="71"/>
  <c r="U69" i="71"/>
  <c r="T69" i="71"/>
  <c r="S69" i="71"/>
  <c r="R69" i="71"/>
  <c r="Q69" i="71"/>
  <c r="P69" i="71"/>
  <c r="O69" i="71"/>
  <c r="N69" i="71"/>
  <c r="M69" i="71"/>
  <c r="L69" i="71"/>
  <c r="K69" i="71"/>
  <c r="J69" i="71"/>
  <c r="I69" i="71"/>
  <c r="H69" i="71"/>
  <c r="G69" i="71"/>
  <c r="F69" i="71"/>
  <c r="E69" i="71"/>
  <c r="AB54" i="71"/>
  <c r="AB29" i="71" s="1"/>
  <c r="AA54" i="71"/>
  <c r="AA29" i="71" s="1"/>
  <c r="Z54" i="71"/>
  <c r="Z29" i="71" s="1"/>
  <c r="Y54" i="71"/>
  <c r="Y29" i="71" s="1"/>
  <c r="X54" i="71"/>
  <c r="X29" i="71" s="1"/>
  <c r="W54" i="71"/>
  <c r="W29" i="71" s="1"/>
  <c r="V54" i="71"/>
  <c r="V29" i="71" s="1"/>
  <c r="U54" i="71"/>
  <c r="U29" i="71" s="1"/>
  <c r="T54" i="71"/>
  <c r="T29" i="71" s="1"/>
  <c r="S54" i="71"/>
  <c r="S29" i="71" s="1"/>
  <c r="R54" i="71"/>
  <c r="R29" i="71" s="1"/>
  <c r="Q54" i="71"/>
  <c r="Q29" i="71" s="1"/>
  <c r="P54" i="71"/>
  <c r="P29" i="71" s="1"/>
  <c r="O54" i="71"/>
  <c r="O29" i="71" s="1"/>
  <c r="N54" i="71"/>
  <c r="N29" i="71" s="1"/>
  <c r="M54" i="71"/>
  <c r="M29" i="71" s="1"/>
  <c r="L54" i="71"/>
  <c r="L29" i="71" s="1"/>
  <c r="K54" i="71"/>
  <c r="K29" i="71" s="1"/>
  <c r="J54" i="71"/>
  <c r="J29" i="71" s="1"/>
  <c r="I54" i="71"/>
  <c r="I29" i="71" s="1"/>
  <c r="H54" i="71"/>
  <c r="H29" i="71" s="1"/>
  <c r="G54" i="71"/>
  <c r="G29" i="71" s="1"/>
  <c r="F54" i="71"/>
  <c r="F29" i="71" s="1"/>
  <c r="E54" i="71"/>
  <c r="E29" i="71" s="1"/>
  <c r="AB19" i="69"/>
  <c r="AA19" i="69"/>
  <c r="Z19" i="69"/>
  <c r="Y19" i="69"/>
  <c r="X19" i="69"/>
  <c r="W19" i="69"/>
  <c r="V19" i="69"/>
  <c r="U19" i="69"/>
  <c r="T19" i="69"/>
  <c r="S19" i="69"/>
  <c r="R19" i="69"/>
  <c r="Q19" i="69"/>
  <c r="P19" i="69"/>
  <c r="O19" i="69"/>
  <c r="N19" i="69"/>
  <c r="M19" i="69"/>
  <c r="L19" i="69"/>
  <c r="K19" i="69"/>
  <c r="J19" i="69"/>
  <c r="I19" i="69"/>
  <c r="H19" i="69"/>
  <c r="G19" i="69"/>
  <c r="F19" i="69"/>
  <c r="K84" i="71" l="1"/>
  <c r="S84" i="71"/>
  <c r="AA84" i="71"/>
  <c r="L84" i="71"/>
  <c r="T84" i="71"/>
  <c r="AB84" i="71"/>
  <c r="E84" i="71"/>
  <c r="M84" i="71"/>
  <c r="U84" i="71"/>
  <c r="F84" i="71"/>
  <c r="N84" i="71"/>
  <c r="V84" i="71"/>
  <c r="G84" i="71"/>
  <c r="O84" i="71"/>
  <c r="W84" i="71"/>
  <c r="H84" i="71"/>
  <c r="P84" i="71"/>
  <c r="X84" i="71"/>
  <c r="I84" i="71"/>
  <c r="Q84" i="71"/>
  <c r="Y84" i="71"/>
  <c r="J84" i="71"/>
  <c r="R84" i="71"/>
  <c r="Z84" i="71"/>
  <c r="G50" i="22" l="1"/>
  <c r="I52" i="22"/>
  <c r="F52" i="22"/>
  <c r="G52" i="22"/>
  <c r="H50" i="22"/>
  <c r="H52" i="22"/>
  <c r="G28" i="22"/>
  <c r="H28" i="22"/>
  <c r="H29" i="22" s="1"/>
  <c r="I28" i="22"/>
  <c r="F28" i="22"/>
  <c r="G21" i="22"/>
  <c r="H21" i="22"/>
  <c r="I21" i="22"/>
  <c r="F21" i="22"/>
  <c r="F29" i="22" s="1"/>
  <c r="G29" i="22" l="1"/>
  <c r="I29" i="22"/>
  <c r="G72" i="22"/>
  <c r="F72" i="22"/>
  <c r="G38" i="22"/>
  <c r="H38" i="22"/>
  <c r="I38" i="22"/>
  <c r="F38" i="22"/>
  <c r="G4" i="22" l="1"/>
  <c r="G8" i="22" s="1"/>
  <c r="G10" i="22" s="1"/>
  <c r="G14" i="22" s="1"/>
  <c r="H4" i="22"/>
  <c r="H8" i="22" s="1"/>
  <c r="H10" i="22" s="1"/>
  <c r="H14" i="22" s="1"/>
  <c r="I4" i="22"/>
  <c r="I8" i="22" s="1"/>
  <c r="I10" i="22" s="1"/>
  <c r="I14" i="22" s="1"/>
  <c r="E19" i="68"/>
</calcChain>
</file>

<file path=xl/sharedStrings.xml><?xml version="1.0" encoding="utf-8"?>
<sst xmlns="http://schemas.openxmlformats.org/spreadsheetml/2006/main" count="1486" uniqueCount="163">
  <si>
    <t>General</t>
  </si>
  <si>
    <t>Another</t>
  </si>
  <si>
    <t>Export</t>
  </si>
  <si>
    <t>Average</t>
  </si>
  <si>
    <t>Total sales by sector, MTJS</t>
  </si>
  <si>
    <t>Collection level by sector, %</t>
  </si>
  <si>
    <t>BT, MTJS Income Statement</t>
  </si>
  <si>
    <t>Financial income</t>
  </si>
  <si>
    <t>Depreciation</t>
  </si>
  <si>
    <t>Interest expenses</t>
  </si>
  <si>
    <t>Provisions</t>
  </si>
  <si>
    <t>Tax</t>
  </si>
  <si>
    <t>Gross profit</t>
  </si>
  <si>
    <t>EBITDA</t>
  </si>
  <si>
    <t>Net profit</t>
  </si>
  <si>
    <t>EBIT</t>
  </si>
  <si>
    <t>Q1-23</t>
  </si>
  <si>
    <t>Q2-23</t>
  </si>
  <si>
    <t>Q3-23</t>
  </si>
  <si>
    <t>Q4-23</t>
  </si>
  <si>
    <t>Unit</t>
  </si>
  <si>
    <t>Comment/link</t>
  </si>
  <si>
    <t>GWh</t>
  </si>
  <si>
    <t>PPE</t>
  </si>
  <si>
    <t>Intangible assets</t>
  </si>
  <si>
    <t>Accounts receivable</t>
  </si>
  <si>
    <t>Other non-current assets</t>
  </si>
  <si>
    <t>Non-current advances</t>
  </si>
  <si>
    <t>BT, MTJS assets</t>
  </si>
  <si>
    <t>Inventory</t>
  </si>
  <si>
    <t>Current achievements</t>
  </si>
  <si>
    <t>Tax advance payments</t>
  </si>
  <si>
    <t>Cash and cash equivalents</t>
  </si>
  <si>
    <t>Total non-current assets</t>
  </si>
  <si>
    <t>Total current assets</t>
  </si>
  <si>
    <t>Total assets</t>
  </si>
  <si>
    <t>Cash flows BT, MTJS</t>
  </si>
  <si>
    <t>Electricity sales</t>
  </si>
  <si>
    <t>Other operating cash flows</t>
  </si>
  <si>
    <t>Purchase of inventory</t>
  </si>
  <si>
    <t>Purchase of electricity</t>
  </si>
  <si>
    <t>Payroll calculation</t>
  </si>
  <si>
    <t>Services</t>
  </si>
  <si>
    <t>BT, MTJS obligations</t>
  </si>
  <si>
    <t>Long-term loans</t>
  </si>
  <si>
    <t>Bonds</t>
  </si>
  <si>
    <t>Other long-term liabilities</t>
  </si>
  <si>
    <t>Total long-term liabilities</t>
  </si>
  <si>
    <t>Short-term loans</t>
  </si>
  <si>
    <t>Accounts payable</t>
  </si>
  <si>
    <t>Advances received</t>
  </si>
  <si>
    <t>Taxes payable</t>
  </si>
  <si>
    <t>Declared dividends</t>
  </si>
  <si>
    <t>Other current liabilities</t>
  </si>
  <si>
    <t>Total current liabilities</t>
  </si>
  <si>
    <t>Purchase/sale of personal protective equipment</t>
  </si>
  <si>
    <t>Other cash flows from investing activities</t>
  </si>
  <si>
    <t>Net operating cash flow</t>
  </si>
  <si>
    <t>Net investing cash flow</t>
  </si>
  <si>
    <t>Grants received</t>
  </si>
  <si>
    <t>Principal payments</t>
  </si>
  <si>
    <t>Other cash flows from financing activities (excluding interest payments)</t>
  </si>
  <si>
    <t>Counterparty accounts receivable, MTJS</t>
  </si>
  <si>
    <t>Trade payables, MTJS</t>
  </si>
  <si>
    <t>Other counterparties</t>
  </si>
  <si>
    <t>MTZhS</t>
  </si>
  <si>
    <t>%</t>
  </si>
  <si>
    <t>Net margin</t>
  </si>
  <si>
    <t>Current assets of BT, MTJS</t>
  </si>
  <si>
    <t>Revenue and margin of BT, MTJS</t>
  </si>
  <si>
    <t>Total liabilities</t>
  </si>
  <si>
    <t>Q3-24</t>
  </si>
  <si>
    <t>Q4-24</t>
  </si>
  <si>
    <t>Q1-24</t>
  </si>
  <si>
    <t>Q2-24</t>
  </si>
  <si>
    <t>Ratio</t>
  </si>
  <si>
    <t>BT Debt Service Coverage Ratio</t>
  </si>
  <si>
    <t>Debt service coverage ratio</t>
  </si>
  <si>
    <t>H1-20222</t>
  </si>
  <si>
    <t>2nd half of 2022</t>
  </si>
  <si>
    <t>H1-20223</t>
  </si>
  <si>
    <t>2nd half of 2023</t>
  </si>
  <si>
    <t>2nd half of 2024</t>
  </si>
  <si>
    <t>Talko</t>
  </si>
  <si>
    <t>Public</t>
  </si>
  <si>
    <t>Pumps</t>
  </si>
  <si>
    <t>Residential</t>
  </si>
  <si>
    <t>Number of clients by sector</t>
  </si>
  <si>
    <t>#</t>
  </si>
  <si>
    <t>Average sales per customer by sector, MTJS</t>
  </si>
  <si>
    <t>Average payment delay by sector, days</t>
  </si>
  <si>
    <t>Total outstanding payments, msomoni</t>
  </si>
  <si>
    <t>Average tariff by sector, somoni/kWh</t>
  </si>
  <si>
    <t>Electricity consumption by sector, GWh</t>
  </si>
  <si>
    <t>Distribution losses</t>
  </si>
  <si>
    <t>Electricity received from SIB, GWh</t>
  </si>
  <si>
    <t>Electricity is obtained from SIB</t>
  </si>
  <si>
    <t>Total cash receipts by sector, MTJS</t>
  </si>
  <si>
    <t>Sales revenue</t>
  </si>
  <si>
    <t>Operating expenses</t>
  </si>
  <si>
    <t>Industrial and commercial (except Talco and Azod)</t>
  </si>
  <si>
    <t>Nitrogen</t>
  </si>
  <si>
    <t>Other non-operating</t>
  </si>
  <si>
    <t>OJSC TALCO</t>
  </si>
  <si>
    <t>KM CT "Tajikkhimprom" Yovon</t>
  </si>
  <si>
    <t>JSC Azot</t>
  </si>
  <si>
    <t>Republican Water Supply and Sewerage</t>
  </si>
  <si>
    <t>Pumps</t>
  </si>
  <si>
    <t>Total</t>
  </si>
  <si>
    <t>Other operating payments</t>
  </si>
  <si>
    <t>GWh</t>
  </si>
  <si>
    <t>Industrial and commercial (excluding TALCO and AZOD)</t>
  </si>
  <si>
    <t>Tajik Metallurgical Plant</t>
  </si>
  <si>
    <t>Average tariff</t>
  </si>
  <si>
    <t>Public</t>
  </si>
  <si>
    <t>Sewage pumps</t>
  </si>
  <si>
    <t>Irrigation pumps</t>
  </si>
  <si>
    <t>TALCO</t>
  </si>
  <si>
    <t>emergency</t>
  </si>
  <si>
    <t>MTJS</t>
  </si>
  <si>
    <t>TJS/kWh</t>
  </si>
  <si>
    <t>Electricity is supplied by BT</t>
  </si>
  <si>
    <t>Electricity supplied by BT</t>
  </si>
  <si>
    <t>OJSC "Barki Tojik"</t>
  </si>
  <si>
    <t>Nokili TALCO</t>
  </si>
  <si>
    <t>JSC "Transformer"</t>
  </si>
  <si>
    <t>Taxes</t>
  </si>
  <si>
    <t>The total amount of outstanding payments to the 20 largest debtors, million soms</t>
  </si>
  <si>
    <t>OAO Shirkati Aluminii Tochik</t>
  </si>
  <si>
    <t>KM CT "Tochikkimiyosanoat" Java</t>
  </si>
  <si>
    <t>CSC "Azot"</t>
  </si>
  <si>
    <t>HPP "Rogun"</t>
  </si>
  <si>
    <t>KM Adrasmon</t>
  </si>
  <si>
    <t>Town Zarnisor Kairakkum</t>
  </si>
  <si>
    <t>OAO "Angisht" Isfara</t>
  </si>
  <si>
    <t xml:space="preserve"> OAO "Tamokhush-ZGMI" g. Isfarah</t>
  </si>
  <si>
    <t>LLC "Angubin Maschokh"</t>
  </si>
  <si>
    <t>CHDMM Tajik-Chinese Mining Company Kayrakkum</t>
  </si>
  <si>
    <t>CHDMM Tajik-Chinese Mining Company Mastchokh</t>
  </si>
  <si>
    <t>SUE "Sementi Tochik"</t>
  </si>
  <si>
    <t>Dushanbevodokanal</t>
  </si>
  <si>
    <t>AMiI at Pr-ve RT pumping stations</t>
  </si>
  <si>
    <t>Agricultural organizations</t>
  </si>
  <si>
    <t>Budgetary organizations</t>
  </si>
  <si>
    <t>Strong commercial consumers</t>
  </si>
  <si>
    <t xml:space="preserve"> Population</t>
  </si>
  <si>
    <t>JSC "Pomirenergy"</t>
  </si>
  <si>
    <t>,</t>
  </si>
  <si>
    <t>Cash at the beginning of the reporting period</t>
  </si>
  <si>
    <t>JSC "Shabakahoi intikoli bark"</t>
  </si>
  <si>
    <t>Industrial and commercial</t>
  </si>
  <si>
    <t>Population</t>
  </si>
  <si>
    <t>Qty</t>
  </si>
  <si>
    <t>SHSHK "Barki Tojik"</t>
  </si>
  <si>
    <t>ChSK "Shabakahoi intikoli bark"</t>
  </si>
  <si>
    <t>Nokili Talko</t>
  </si>
  <si>
    <t>JSC Transformer</t>
  </si>
  <si>
    <t>ChSK "Somon Kulob - tachkhizot"</t>
  </si>
  <si>
    <t>Q1-25</t>
  </si>
  <si>
    <t>Q2-25</t>
  </si>
  <si>
    <t>H1-2025</t>
  </si>
  <si>
    <t>H1-2024</t>
  </si>
  <si>
    <t>Q3-25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</si>
</sst>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_-;\-* #,##0.00_-;_-* &quot;-&quot;??_-;_-@_-"/>
    <numFmt numFmtId="165" formatCode="0.0"/>
    <numFmt numFmtId="166" formatCode="_(* #,##0_);_(* \(#,##0\);_(* &quot;-&quot;??_);_(@_)"/>
    <numFmt numFmtId="167" formatCode="0.00,,"/>
    <numFmt numFmtId="168" formatCode="#,##0.0"/>
    <numFmt numFmtId="169" formatCode="#,##0.000"/>
    <numFmt numFmtId="170" formatCode="_(* #,##0.0_);_(* \(#,##0.0\);_(* &quot;-&quot;??_);_(@_)"/>
    <numFmt numFmtId="171" formatCode="_(* #,##0.000_);_(* \(#,##0.000\);_(* &quot;-&quot;??_);_(@_)"/>
    <numFmt numFmtId="172" formatCode="0.000000"/>
    <numFmt numFmtId="173" formatCode="_-* #,##0.00\ _₽_-;\-* #,##0.00\ _₽_-;_-* &quot;-&quot;??\ _₽_-;_-@_-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8"/>
      <name val="Arial"/>
      <family val="2"/>
    </font>
    <font>
      <sz val="11"/>
      <color theme="1"/>
      <name val="Calibri Light"/>
      <family val="2"/>
      <scheme val="major"/>
    </font>
    <font>
      <b/>
      <sz val="10"/>
      <color theme="0"/>
      <name val="Arial"/>
      <family val="2"/>
    </font>
    <font>
      <sz val="8"/>
      <name val="Calibri"/>
      <family val="2"/>
      <scheme val="minor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oa;"/>
    </font>
    <font>
      <b/>
      <sz val="10"/>
      <color theme="0"/>
      <name val="Aroa;"/>
    </font>
    <font>
      <sz val="10"/>
      <color theme="0"/>
      <name val="Aroa;"/>
    </font>
    <font>
      <sz val="10"/>
      <name val="Aroa;"/>
    </font>
    <font>
      <sz val="10"/>
      <color theme="1"/>
      <name val="Aroa;"/>
    </font>
    <font>
      <b/>
      <sz val="10"/>
      <color theme="1"/>
      <name val="Aroa;"/>
    </font>
    <font>
      <b/>
      <sz val="10"/>
      <name val="Aroa;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0"/>
      <name val="Calibri"/>
      <family val="2"/>
      <charset val="204"/>
    </font>
    <font>
      <sz val="10"/>
      <color rgb="FFFF0000"/>
      <name val="Arial"/>
      <family val="2"/>
    </font>
    <font>
      <b/>
      <i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/>
    <xf numFmtId="164" fontId="1" fillId="0" borderId="0" applyFont="0" applyFill="0" applyBorder="0" applyAlignment="0" applyProtection="0"/>
    <xf numFmtId="0" fontId="1" fillId="0" borderId="0"/>
  </cellStyleXfs>
  <cellXfs count="138">
    <xf numFmtId="0" fontId="0" fillId="0" borderId="0" xfId="0"/>
    <xf numFmtId="0" fontId="5" fillId="3" borderId="4" xfId="2" applyFont="1" applyFill="1" applyBorder="1" applyAlignment="1">
      <alignment horizontal="left"/>
    </xf>
    <xf numFmtId="1" fontId="5" fillId="3" borderId="4" xfId="3" applyNumberFormat="1" applyFont="1" applyFill="1" applyBorder="1" applyAlignment="1">
      <alignment horizontal="left"/>
    </xf>
    <xf numFmtId="0" fontId="7" fillId="3" borderId="4" xfId="3" applyFont="1" applyFill="1" applyBorder="1"/>
    <xf numFmtId="165" fontId="5" fillId="3" borderId="7" xfId="3" applyNumberFormat="1" applyFont="1" applyFill="1" applyBorder="1" applyAlignment="1">
      <alignment horizontal="left"/>
    </xf>
    <xf numFmtId="165" fontId="5" fillId="3" borderId="5" xfId="3" applyNumberFormat="1" applyFont="1" applyFill="1" applyBorder="1" applyAlignment="1">
      <alignment horizontal="left"/>
    </xf>
    <xf numFmtId="0" fontId="8" fillId="3" borderId="4" xfId="2" applyFont="1" applyFill="1" applyBorder="1"/>
    <xf numFmtId="0" fontId="9" fillId="2" borderId="0" xfId="2" applyFont="1" applyFill="1"/>
    <xf numFmtId="0" fontId="10" fillId="2" borderId="3" xfId="0" applyFont="1" applyFill="1" applyBorder="1" applyAlignment="1">
      <alignment horizontal="right" vertical="center" wrapText="1"/>
    </xf>
    <xf numFmtId="0" fontId="10" fillId="2" borderId="6" xfId="0" applyFont="1" applyFill="1" applyBorder="1" applyAlignment="1">
      <alignment horizontal="right" vertical="center" wrapText="1"/>
    </xf>
    <xf numFmtId="165" fontId="9" fillId="2" borderId="0" xfId="2" applyNumberFormat="1" applyFont="1" applyFill="1"/>
    <xf numFmtId="0" fontId="10" fillId="2" borderId="2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right" vertical="center" wrapText="1"/>
    </xf>
    <xf numFmtId="0" fontId="12" fillId="2" borderId="2" xfId="0" applyFont="1" applyFill="1" applyBorder="1" applyAlignment="1">
      <alignment horizontal="right" vertical="center" wrapText="1"/>
    </xf>
    <xf numFmtId="0" fontId="9" fillId="2" borderId="1" xfId="2" applyFont="1" applyFill="1" applyBorder="1" applyAlignment="1">
      <alignment horizontal="left"/>
    </xf>
    <xf numFmtId="0" fontId="9" fillId="2" borderId="6" xfId="2" applyFont="1" applyFill="1" applyBorder="1" applyAlignment="1">
      <alignment horizontal="left"/>
    </xf>
    <xf numFmtId="165" fontId="9" fillId="2" borderId="6" xfId="2" applyNumberFormat="1" applyFont="1" applyFill="1" applyBorder="1"/>
    <xf numFmtId="165" fontId="9" fillId="2" borderId="1" xfId="2" applyNumberFormat="1" applyFont="1" applyFill="1" applyBorder="1"/>
    <xf numFmtId="17" fontId="5" fillId="3" borderId="4" xfId="2" applyNumberFormat="1" applyFont="1" applyFill="1" applyBorder="1" applyAlignment="1">
      <alignment horizontal="left"/>
    </xf>
    <xf numFmtId="165" fontId="14" fillId="3" borderId="7" xfId="3" applyNumberFormat="1" applyFont="1" applyFill="1" applyBorder="1" applyAlignment="1">
      <alignment horizontal="left"/>
    </xf>
    <xf numFmtId="0" fontId="14" fillId="3" borderId="4" xfId="2" applyFont="1" applyFill="1" applyBorder="1" applyAlignment="1">
      <alignment horizontal="left"/>
    </xf>
    <xf numFmtId="1" fontId="14" fillId="3" borderId="4" xfId="3" applyNumberFormat="1" applyFont="1" applyFill="1" applyBorder="1" applyAlignment="1">
      <alignment horizontal="left"/>
    </xf>
    <xf numFmtId="165" fontId="19" fillId="2" borderId="1" xfId="3" applyNumberFormat="1" applyFont="1" applyFill="1" applyBorder="1" applyAlignment="1">
      <alignment horizontal="left"/>
    </xf>
    <xf numFmtId="0" fontId="16" fillId="2" borderId="1" xfId="2" applyFont="1" applyFill="1" applyBorder="1" applyAlignment="1">
      <alignment horizontal="left"/>
    </xf>
    <xf numFmtId="0" fontId="13" fillId="3" borderId="4" xfId="3" applyFont="1" applyFill="1" applyBorder="1"/>
    <xf numFmtId="0" fontId="15" fillId="3" borderId="4" xfId="2" applyFont="1" applyFill="1" applyBorder="1"/>
    <xf numFmtId="0" fontId="16" fillId="2" borderId="0" xfId="2" applyFont="1" applyFill="1"/>
    <xf numFmtId="0" fontId="17" fillId="2" borderId="1" xfId="0" applyFont="1" applyFill="1" applyBorder="1" applyAlignment="1">
      <alignment horizontal="right" vertical="center"/>
    </xf>
    <xf numFmtId="0" fontId="18" fillId="2" borderId="2" xfId="0" applyFont="1" applyFill="1" applyBorder="1" applyAlignment="1">
      <alignment horizontal="right" vertical="center"/>
    </xf>
    <xf numFmtId="0" fontId="18" fillId="2" borderId="1" xfId="0" applyFont="1" applyFill="1" applyBorder="1" applyAlignment="1">
      <alignment horizontal="right" vertical="center"/>
    </xf>
    <xf numFmtId="0" fontId="18" fillId="2" borderId="0" xfId="0" applyFont="1" applyFill="1" applyAlignment="1">
      <alignment horizontal="right" vertical="center"/>
    </xf>
    <xf numFmtId="165" fontId="16" fillId="2" borderId="1" xfId="2" applyNumberFormat="1" applyFont="1" applyFill="1" applyBorder="1"/>
    <xf numFmtId="1" fontId="9" fillId="2" borderId="0" xfId="2" applyNumberFormat="1" applyFont="1" applyFill="1"/>
    <xf numFmtId="1" fontId="11" fillId="2" borderId="0" xfId="2" applyNumberFormat="1" applyFont="1" applyFill="1"/>
    <xf numFmtId="0" fontId="12" fillId="2" borderId="1" xfId="0" applyFont="1" applyFill="1" applyBorder="1" applyAlignment="1">
      <alignment horizontal="right" vertical="center" wrapText="1"/>
    </xf>
    <xf numFmtId="0" fontId="12" fillId="2" borderId="0" xfId="0" applyFont="1" applyFill="1" applyAlignment="1">
      <alignment horizontal="right" vertical="center" wrapText="1"/>
    </xf>
    <xf numFmtId="165" fontId="11" fillId="2" borderId="1" xfId="3" applyNumberFormat="1" applyFont="1" applyFill="1" applyBorder="1" applyAlignment="1">
      <alignment horizontal="left"/>
    </xf>
    <xf numFmtId="9" fontId="9" fillId="2" borderId="0" xfId="1" applyFont="1" applyFill="1"/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0" fontId="10" fillId="2" borderId="3" xfId="0" applyFont="1" applyFill="1" applyBorder="1" applyAlignment="1">
      <alignment horizontal="right" vertical="center"/>
    </xf>
    <xf numFmtId="0" fontId="20" fillId="2" borderId="2" xfId="0" applyFont="1" applyFill="1" applyBorder="1" applyAlignment="1">
      <alignment horizontal="right" vertical="center" wrapText="1"/>
    </xf>
    <xf numFmtId="165" fontId="11" fillId="2" borderId="6" xfId="3" applyNumberFormat="1" applyFont="1" applyFill="1" applyBorder="1" applyAlignment="1">
      <alignment horizontal="left"/>
    </xf>
    <xf numFmtId="0" fontId="21" fillId="2" borderId="2" xfId="0" applyFont="1" applyFill="1" applyBorder="1" applyAlignment="1">
      <alignment horizontal="right" vertical="center" wrapText="1"/>
    </xf>
    <xf numFmtId="9" fontId="9" fillId="2" borderId="0" xfId="2" applyNumberFormat="1" applyFont="1" applyFill="1"/>
    <xf numFmtId="165" fontId="8" fillId="3" borderId="7" xfId="2" applyNumberFormat="1" applyFont="1" applyFill="1" applyBorder="1"/>
    <xf numFmtId="165" fontId="8" fillId="3" borderId="1" xfId="2" applyNumberFormat="1" applyFont="1" applyFill="1" applyBorder="1"/>
    <xf numFmtId="165" fontId="9" fillId="2" borderId="2" xfId="2" applyNumberFormat="1" applyFont="1" applyFill="1" applyBorder="1"/>
    <xf numFmtId="0" fontId="12" fillId="2" borderId="6" xfId="0" applyFont="1" applyFill="1" applyBorder="1" applyAlignment="1">
      <alignment horizontal="right" vertical="center" wrapText="1"/>
    </xf>
    <xf numFmtId="3" fontId="5" fillId="3" borderId="4" xfId="2" applyNumberFormat="1" applyFont="1" applyFill="1" applyBorder="1" applyAlignment="1">
      <alignment horizontal="left"/>
    </xf>
    <xf numFmtId="3" fontId="5" fillId="3" borderId="4" xfId="3" applyNumberFormat="1" applyFont="1" applyFill="1" applyBorder="1" applyAlignment="1">
      <alignment horizontal="left"/>
    </xf>
    <xf numFmtId="3" fontId="9" fillId="2" borderId="0" xfId="2" applyNumberFormat="1" applyFont="1" applyFill="1"/>
    <xf numFmtId="3" fontId="11" fillId="2" borderId="0" xfId="2" applyNumberFormat="1" applyFont="1" applyFill="1"/>
    <xf numFmtId="3" fontId="12" fillId="2" borderId="0" xfId="0" applyNumberFormat="1" applyFont="1" applyFill="1" applyAlignment="1">
      <alignment horizontal="right" vertical="center" wrapText="1"/>
    </xf>
    <xf numFmtId="3" fontId="5" fillId="3" borderId="0" xfId="2" applyNumberFormat="1" applyFont="1" applyFill="1" applyAlignment="1">
      <alignment horizontal="left"/>
    </xf>
    <xf numFmtId="3" fontId="5" fillId="3" borderId="0" xfId="3" applyNumberFormat="1" applyFont="1" applyFill="1" applyAlignment="1">
      <alignment horizontal="left"/>
    </xf>
    <xf numFmtId="3" fontId="9" fillId="2" borderId="2" xfId="2" applyNumberFormat="1" applyFont="1" applyFill="1" applyBorder="1"/>
    <xf numFmtId="3" fontId="11" fillId="2" borderId="2" xfId="2" applyNumberFormat="1" applyFont="1" applyFill="1" applyBorder="1"/>
    <xf numFmtId="166" fontId="0" fillId="0" borderId="2" xfId="7" applyNumberFormat="1" applyFont="1" applyBorder="1"/>
    <xf numFmtId="166" fontId="22" fillId="0" borderId="2" xfId="7" applyNumberFormat="1" applyFont="1" applyBorder="1"/>
    <xf numFmtId="167" fontId="9" fillId="2" borderId="0" xfId="2" applyNumberFormat="1" applyFont="1" applyFill="1"/>
    <xf numFmtId="168" fontId="9" fillId="2" borderId="0" xfId="2" applyNumberFormat="1" applyFont="1" applyFill="1"/>
    <xf numFmtId="167" fontId="11" fillId="2" borderId="0" xfId="2" applyNumberFormat="1" applyFont="1" applyFill="1"/>
    <xf numFmtId="168" fontId="11" fillId="2" borderId="0" xfId="2" applyNumberFormat="1" applyFont="1" applyFill="1"/>
    <xf numFmtId="0" fontId="5" fillId="3" borderId="0" xfId="2" applyFont="1" applyFill="1" applyAlignment="1">
      <alignment horizontal="left"/>
    </xf>
    <xf numFmtId="1" fontId="5" fillId="3" borderId="0" xfId="3" applyNumberFormat="1" applyFont="1" applyFill="1" applyAlignment="1">
      <alignment horizontal="left"/>
    </xf>
    <xf numFmtId="167" fontId="23" fillId="2" borderId="0" xfId="2" applyNumberFormat="1" applyFont="1" applyFill="1"/>
    <xf numFmtId="169" fontId="9" fillId="2" borderId="0" xfId="2" applyNumberFormat="1" applyFont="1" applyFill="1"/>
    <xf numFmtId="9" fontId="23" fillId="2" borderId="0" xfId="1" applyFont="1" applyFill="1"/>
    <xf numFmtId="169" fontId="23" fillId="2" borderId="0" xfId="2" applyNumberFormat="1" applyFont="1" applyFill="1"/>
    <xf numFmtId="0" fontId="23" fillId="2" borderId="0" xfId="2" applyFont="1" applyFill="1"/>
    <xf numFmtId="0" fontId="24" fillId="2" borderId="3" xfId="0" applyFont="1" applyFill="1" applyBorder="1" applyAlignment="1">
      <alignment horizontal="right" vertical="center" wrapText="1"/>
    </xf>
    <xf numFmtId="0" fontId="24" fillId="2" borderId="6" xfId="0" applyFont="1" applyFill="1" applyBorder="1" applyAlignment="1">
      <alignment horizontal="right" vertical="center" wrapText="1"/>
    </xf>
    <xf numFmtId="165" fontId="23" fillId="2" borderId="6" xfId="2" applyNumberFormat="1" applyFont="1" applyFill="1" applyBorder="1"/>
    <xf numFmtId="0" fontId="25" fillId="3" borderId="4" xfId="3" applyFont="1" applyFill="1" applyBorder="1"/>
    <xf numFmtId="165" fontId="26" fillId="3" borderId="7" xfId="3" applyNumberFormat="1" applyFont="1" applyFill="1" applyBorder="1" applyAlignment="1">
      <alignment horizontal="left"/>
    </xf>
    <xf numFmtId="0" fontId="26" fillId="3" borderId="4" xfId="2" applyFont="1" applyFill="1" applyBorder="1" applyAlignment="1">
      <alignment horizontal="left"/>
    </xf>
    <xf numFmtId="1" fontId="26" fillId="3" borderId="4" xfId="3" applyNumberFormat="1" applyFont="1" applyFill="1" applyBorder="1" applyAlignment="1">
      <alignment horizontal="left"/>
    </xf>
    <xf numFmtId="0" fontId="27" fillId="3" borderId="4" xfId="2" applyFont="1" applyFill="1" applyBorder="1"/>
    <xf numFmtId="0" fontId="28" fillId="2" borderId="0" xfId="2" applyFont="1" applyFill="1"/>
    <xf numFmtId="0" fontId="29" fillId="2" borderId="3" xfId="0" applyFont="1" applyFill="1" applyBorder="1" applyAlignment="1">
      <alignment horizontal="right" vertical="center" wrapText="1"/>
    </xf>
    <xf numFmtId="0" fontId="29" fillId="2" borderId="1" xfId="0" applyFont="1" applyFill="1" applyBorder="1" applyAlignment="1">
      <alignment horizontal="right" vertical="center" wrapText="1"/>
    </xf>
    <xf numFmtId="0" fontId="29" fillId="2" borderId="2" xfId="0" applyFont="1" applyFill="1" applyBorder="1" applyAlignment="1">
      <alignment horizontal="right" vertical="center"/>
    </xf>
    <xf numFmtId="0" fontId="29" fillId="2" borderId="2" xfId="0" applyFont="1" applyFill="1" applyBorder="1" applyAlignment="1">
      <alignment horizontal="right" vertical="center" wrapText="1"/>
    </xf>
    <xf numFmtId="165" fontId="28" fillId="2" borderId="1" xfId="2" applyNumberFormat="1" applyFont="1" applyFill="1" applyBorder="1"/>
    <xf numFmtId="165" fontId="30" fillId="2" borderId="1" xfId="3" applyNumberFormat="1" applyFont="1" applyFill="1" applyBorder="1" applyAlignment="1">
      <alignment horizontal="left"/>
    </xf>
    <xf numFmtId="3" fontId="28" fillId="2" borderId="0" xfId="2" applyNumberFormat="1" applyFont="1" applyFill="1"/>
    <xf numFmtId="3" fontId="31" fillId="2" borderId="0" xfId="2" applyNumberFormat="1" applyFont="1" applyFill="1"/>
    <xf numFmtId="0" fontId="10" fillId="2" borderId="8" xfId="0" applyFont="1" applyFill="1" applyBorder="1" applyAlignment="1">
      <alignment horizontal="right" vertical="center" wrapText="1"/>
    </xf>
    <xf numFmtId="166" fontId="9" fillId="2" borderId="0" xfId="1" applyNumberFormat="1" applyFont="1" applyFill="1"/>
    <xf numFmtId="166" fontId="9" fillId="2" borderId="0" xfId="2" applyNumberFormat="1" applyFont="1" applyFill="1"/>
    <xf numFmtId="166" fontId="28" fillId="2" borderId="0" xfId="2" applyNumberFormat="1" applyFont="1" applyFill="1"/>
    <xf numFmtId="166" fontId="31" fillId="2" borderId="0" xfId="2" applyNumberFormat="1" applyFont="1" applyFill="1"/>
    <xf numFmtId="171" fontId="9" fillId="2" borderId="0" xfId="2" applyNumberFormat="1" applyFont="1" applyFill="1"/>
    <xf numFmtId="0" fontId="32" fillId="2" borderId="2" xfId="0" applyFont="1" applyFill="1" applyBorder="1" applyAlignment="1">
      <alignment horizontal="right" vertical="center" wrapText="1"/>
    </xf>
    <xf numFmtId="0" fontId="33" fillId="2" borderId="2" xfId="0" applyFont="1" applyFill="1" applyBorder="1" applyAlignment="1">
      <alignment horizontal="right" vertical="center" wrapText="1"/>
    </xf>
    <xf numFmtId="166" fontId="23" fillId="2" borderId="0" xfId="1" applyNumberFormat="1" applyFont="1" applyFill="1"/>
    <xf numFmtId="1" fontId="9" fillId="0" borderId="0" xfId="2" applyNumberFormat="1" applyFont="1"/>
    <xf numFmtId="0" fontId="9" fillId="0" borderId="0" xfId="2" applyFont="1"/>
    <xf numFmtId="1" fontId="11" fillId="0" borderId="0" xfId="2" applyNumberFormat="1" applyFont="1"/>
    <xf numFmtId="166" fontId="9" fillId="0" borderId="0" xfId="1" applyNumberFormat="1" applyFont="1" applyFill="1"/>
    <xf numFmtId="166" fontId="9" fillId="0" borderId="0" xfId="2" applyNumberFormat="1" applyFont="1"/>
    <xf numFmtId="166" fontId="0" fillId="0" borderId="8" xfId="7" applyNumberFormat="1" applyFont="1" applyFill="1" applyBorder="1"/>
    <xf numFmtId="170" fontId="9" fillId="0" borderId="0" xfId="1" applyNumberFormat="1" applyFont="1" applyFill="1"/>
    <xf numFmtId="166" fontId="11" fillId="0" borderId="0" xfId="1" applyNumberFormat="1" applyFont="1" applyFill="1"/>
    <xf numFmtId="0" fontId="10" fillId="0" borderId="2" xfId="0" applyFont="1" applyBorder="1" applyAlignment="1">
      <alignment horizontal="right" vertical="center" wrapText="1"/>
    </xf>
    <xf numFmtId="1" fontId="23" fillId="0" borderId="0" xfId="2" applyNumberFormat="1" applyFont="1"/>
    <xf numFmtId="0" fontId="10" fillId="0" borderId="3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165" fontId="9" fillId="0" borderId="6" xfId="2" applyNumberFormat="1" applyFont="1" applyBorder="1"/>
    <xf numFmtId="165" fontId="11" fillId="0" borderId="6" xfId="3" applyNumberFormat="1" applyFont="1" applyBorder="1" applyAlignment="1">
      <alignment horizontal="left"/>
    </xf>
    <xf numFmtId="0" fontId="12" fillId="0" borderId="2" xfId="0" applyFont="1" applyBorder="1" applyAlignment="1">
      <alignment horizontal="right" vertical="center" wrapText="1"/>
    </xf>
    <xf numFmtId="0" fontId="9" fillId="0" borderId="1" xfId="2" applyFont="1" applyBorder="1" applyAlignment="1">
      <alignment horizontal="left"/>
    </xf>
    <xf numFmtId="0" fontId="24" fillId="0" borderId="2" xfId="0" applyFont="1" applyBorder="1" applyAlignment="1">
      <alignment horizontal="right" vertical="center" wrapText="1"/>
    </xf>
    <xf numFmtId="0" fontId="24" fillId="0" borderId="6" xfId="0" applyFont="1" applyBorder="1" applyAlignment="1">
      <alignment horizontal="right" vertical="center" wrapText="1"/>
    </xf>
    <xf numFmtId="166" fontId="23" fillId="0" borderId="0" xfId="1" applyNumberFormat="1" applyFont="1" applyFill="1"/>
    <xf numFmtId="0" fontId="10" fillId="0" borderId="2" xfId="0" applyFont="1" applyBorder="1" applyAlignment="1">
      <alignment horizontal="right" vertical="center"/>
    </xf>
    <xf numFmtId="3" fontId="9" fillId="0" borderId="2" xfId="2" applyNumberFormat="1" applyFont="1" applyBorder="1"/>
    <xf numFmtId="3" fontId="11" fillId="0" borderId="2" xfId="2" applyNumberFormat="1" applyFont="1" applyBorder="1"/>
    <xf numFmtId="0" fontId="9" fillId="0" borderId="3" xfId="0" applyFont="1" applyBorder="1" applyAlignment="1">
      <alignment horizontal="right" vertical="center" wrapText="1"/>
    </xf>
    <xf numFmtId="0" fontId="20" fillId="0" borderId="2" xfId="0" applyFont="1" applyBorder="1" applyAlignment="1">
      <alignment horizontal="right" vertical="center" wrapText="1"/>
    </xf>
    <xf numFmtId="1" fontId="9" fillId="0" borderId="0" xfId="1" applyNumberFormat="1" applyFont="1" applyFill="1"/>
    <xf numFmtId="166" fontId="0" fillId="0" borderId="2" xfId="7" applyNumberFormat="1" applyFont="1" applyFill="1" applyBorder="1"/>
    <xf numFmtId="1" fontId="11" fillId="0" borderId="0" xfId="1" applyNumberFormat="1" applyFont="1" applyFill="1"/>
    <xf numFmtId="3" fontId="9" fillId="0" borderId="0" xfId="2" applyNumberFormat="1" applyFont="1"/>
    <xf numFmtId="2" fontId="23" fillId="2" borderId="0" xfId="2" applyNumberFormat="1" applyFont="1" applyFill="1"/>
    <xf numFmtId="2" fontId="9" fillId="2" borderId="0" xfId="2" applyNumberFormat="1" applyFont="1" applyFill="1"/>
    <xf numFmtId="4" fontId="9" fillId="2" borderId="0" xfId="2" applyNumberFormat="1" applyFont="1" applyFill="1"/>
    <xf numFmtId="172" fontId="9" fillId="2" borderId="0" xfId="2" applyNumberFormat="1" applyFont="1" applyFill="1"/>
    <xf numFmtId="0" fontId="9" fillId="4" borderId="0" xfId="2" applyFont="1" applyFill="1"/>
    <xf numFmtId="1" fontId="28" fillId="2" borderId="0" xfId="2" applyNumberFormat="1" applyFont="1" applyFill="1"/>
    <xf numFmtId="164" fontId="9" fillId="2" borderId="0" xfId="7" applyFont="1" applyFill="1"/>
    <xf numFmtId="173" fontId="9" fillId="2" borderId="0" xfId="2" applyNumberFormat="1" applyFont="1" applyFill="1"/>
    <xf numFmtId="0" fontId="23" fillId="0" borderId="0" xfId="2" applyFont="1"/>
  </cellXfs>
  <cellStyles count="9">
    <cellStyle name="Comma" xfId="7" builtinId="3"/>
    <cellStyle name="Normal" xfId="0" builtinId="0"/>
    <cellStyle name="Normal 10" xfId="6" xr:uid="{00000000-0005-0000-0000-000000000000}"/>
    <cellStyle name="Normal 2" xfId="2" xr:uid="{00000000-0005-0000-0000-000001000000}"/>
    <cellStyle name="Normal 3" xfId="4" xr:uid="{00000000-0005-0000-0000-000002000000}"/>
    <cellStyle name="Normal 5" xfId="5" xr:uid="{00000000-0005-0000-0000-000003000000}"/>
    <cellStyle name="Normal_Tabell till fig 17, 18, 19, 20, 22, 24 Elmarknaden (Till GA 10 okt) till ETC" xfId="3" xr:uid="{00000000-0005-0000-0000-000004000000}"/>
    <cellStyle name="Percent" xfId="1" builtinId="5"/>
    <cellStyle name="Обычный 2" xfId="8" xr:uid="{04A22A91-E3F9-417A-812D-1AF17A37D1E3}"/>
  </cellStyles>
  <dxfs count="0"/>
  <tableStyles count="0" defaultTableStyle="TableStyleMedium2" defaultPivotStyle="PivotStyleLight16"/>
  <colors>
    <mruColors>
      <color rgb="FFC5C5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b615512\Downloads\energy-in-sweden-facts-and-figures_2022%20(1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ysical_monthly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%20&#1060;&#1080;&#1079;&#1080;&#1095;&#1077;&#1089;&#1082;&#1080;&#1081;_&#1077;&#1078;&#1077;&#1082;&#1074;&#1072;&#1088;&#1090;&#1072;&#1083;&#1100;&#1085;&#1099;&#1081;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%20&#1060;&#1080;&#1079;&#1080;&#1095;&#1077;&#1089;&#1082;&#1080;&#1081;_&#1077;&#1078;&#1077;&#1084;&#1077;&#1089;&#1103;&#1095;&#1085;&#1099;&#1081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%20&#1050;&#1086;&#1084;&#1084;&#1077;&#1088;&#1095;&#1077;&#1089;&#1082;&#1080;&#1081;_&#1077;&#1078;&#1077;&#1084;&#1077;&#1089;&#1103;&#1095;&#1085;&#1086;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57;&#1072;&#1081;&#1105;&#1093;&#1072;&#1090;%20&#1086;&#1090;&#1095;&#1077;&#1090;\&#1042;&#1089;&#1077;&#1084;&#1080;&#1088;&#1085;&#1099;&#1081;%20&#1073;&#1072;&#1085;&#1082;\2025\STB_WORLD%20BANK%20power%20sector%20reporting%20template%20&#1056;&#1091;&#1089;&#1080;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%20STB_FS_&#1087;&#1086;&#1083;&#1091;&#1075;&#1086;&#1076;&#1086;&#1074;&#1086;&#1081;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%20STB_FS_&#1082;&#1074;&#1072;&#1088;&#1090;&#1072;&#1083;&#1100;&#1085;&#1086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sidan.energimyndigheten.se/samarbetsytor/samarbetsytor/Energil&#228;get/Energilget%202019/Energil&#228;get%20i%20siffror/ENERGIL&#196;GETBALANSEN%202018_200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B_FS_annual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B_FS_quarterly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B_FS_semiannu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mmercial_annual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mmercial_monthly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ysical_annual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ysical_quarterly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nehåll"/>
      <sheetName val="Info"/>
      <sheetName val="1.1"/>
      <sheetName val="1.2"/>
      <sheetName val="1.3"/>
      <sheetName val="2.1"/>
      <sheetName val="2.2"/>
      <sheetName val="3.1"/>
      <sheetName val="3.2"/>
      <sheetName val="3.3"/>
      <sheetName val="3.4"/>
      <sheetName val="3.5"/>
      <sheetName val="3.6"/>
      <sheetName val="4.1"/>
      <sheetName val="4.2"/>
      <sheetName val="4.3"/>
      <sheetName val="4.4"/>
      <sheetName val="4.5"/>
      <sheetName val="4.6"/>
      <sheetName val="4.7"/>
      <sheetName val="5.1"/>
      <sheetName val="5.2"/>
      <sheetName val="5.3"/>
      <sheetName val="5.4"/>
      <sheetName val="5.5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6.16"/>
      <sheetName val="7.1"/>
      <sheetName val="7.2"/>
      <sheetName val="8.1"/>
      <sheetName val="8.2"/>
      <sheetName val="8.3"/>
      <sheetName val="8.4"/>
      <sheetName val="8.5"/>
      <sheetName val="8.6"/>
      <sheetName val="8.7"/>
      <sheetName val="8.8"/>
      <sheetName val="8.9"/>
      <sheetName val="8.10"/>
      <sheetName val="8.11"/>
      <sheetName val="9.1"/>
      <sheetName val="9.2"/>
      <sheetName val="9.3"/>
      <sheetName val="9.4"/>
      <sheetName val="9.5"/>
      <sheetName val="9.6"/>
      <sheetName val="10.1"/>
      <sheetName val="10.2"/>
      <sheetName val="11.1"/>
      <sheetName val="11.2"/>
      <sheetName val="12.1"/>
      <sheetName val="12.2"/>
      <sheetName val="12.3"/>
      <sheetName val="12.4"/>
      <sheetName val="12.5"/>
      <sheetName val="12.6"/>
      <sheetName val="12.7"/>
      <sheetName val="13.1"/>
      <sheetName val="13.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3">
          <cell r="A3" t="str">
            <v>Electricity use, by sector, from 1970, TWh</v>
          </cell>
        </row>
      </sheetData>
      <sheetData sheetId="26">
        <row r="3">
          <cell r="A3" t="str">
            <v>Net electricity production, from 1970, TWh</v>
          </cell>
        </row>
      </sheetData>
      <sheetData sheetId="27">
        <row r="3">
          <cell r="A3" t="str">
            <v>Fuel used for electricity production, excluding nuclear fuel, from 1983, GWh</v>
          </cell>
        </row>
      </sheetData>
      <sheetData sheetId="28">
        <row r="3">
          <cell r="A3" t="str">
            <v>Wind power, number of turbines, capacity (MW) and production (GWh), from 1982</v>
          </cell>
        </row>
      </sheetData>
      <sheetData sheetId="29">
        <row r="3">
          <cell r="A3" t="str">
            <v>Electricity production by type of power in the electricity certificate system, from 2003, GWh</v>
          </cell>
        </row>
      </sheetData>
      <sheetData sheetId="30">
        <row r="3">
          <cell r="A3" t="str">
            <v>Electricity production capacity, from 1996, MW</v>
          </cell>
        </row>
      </sheetData>
      <sheetData sheetId="31">
        <row r="3">
          <cell r="A3" t="str">
            <v>Electricity trade with other countries, from 2010, GWh/week</v>
          </cell>
        </row>
      </sheetData>
      <sheetData sheetId="32">
        <row r="7">
          <cell r="D7" t="str">
            <v>Finland</v>
          </cell>
        </row>
      </sheetData>
      <sheetData sheetId="33"/>
      <sheetData sheetId="34"/>
      <sheetData sheetId="35"/>
      <sheetData sheetId="36"/>
      <sheetData sheetId="37"/>
      <sheetData sheetId="38">
        <row r="3">
          <cell r="A3" t="str">
            <v>Distribution of different types of contracts for household customers, from april 2004, percent</v>
          </cell>
        </row>
      </sheetData>
      <sheetData sheetId="39"/>
      <sheetData sheetId="40">
        <row r="3">
          <cell r="A3" t="str">
            <v>Net production of renewable electricity, from 1990, TWh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ysical_monthly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Физический_ежеквартальный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Физический_ежемесячный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Коммерческий_ежемесячно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Физический_годовой"/>
      <sheetName val=" Физический_ежеквартальный"/>
      <sheetName val=" Физический_ежемесячный"/>
      <sheetName val=" Коммерческий_ежегодный"/>
      <sheetName val=" Коммерческий_ежеквартальный"/>
      <sheetName val=" Коммерческий_ежемесячно"/>
      <sheetName val=" STB_FS_годовой"/>
      <sheetName val=" STB_FS_полугодовой"/>
      <sheetName val=" STB_FS_квартально"/>
    </sheetNames>
    <sheetDataSet>
      <sheetData sheetId="0"/>
      <sheetData sheetId="1"/>
      <sheetData sheetId="2">
        <row r="7">
          <cell r="AI7">
            <v>387962289.96449995</v>
          </cell>
          <cell r="AJ7">
            <v>387761035.398</v>
          </cell>
          <cell r="AK7">
            <v>365779393.50180006</v>
          </cell>
        </row>
        <row r="8">
          <cell r="AI8">
            <v>968920.72729999945</v>
          </cell>
          <cell r="AJ8">
            <v>970406.00899999961</v>
          </cell>
          <cell r="AK8">
            <v>998274.74540000036</v>
          </cell>
        </row>
        <row r="9">
          <cell r="AI9">
            <v>1975665.3389999999</v>
          </cell>
          <cell r="AJ9">
            <v>1422319.4750000001</v>
          </cell>
          <cell r="AK9">
            <v>1294589.585</v>
          </cell>
        </row>
        <row r="10">
          <cell r="AI10">
            <v>49277767.8935</v>
          </cell>
          <cell r="AJ10">
            <v>45967832.543000005</v>
          </cell>
          <cell r="AK10">
            <v>37495656.113700002</v>
          </cell>
        </row>
        <row r="11">
          <cell r="AI11">
            <v>407615523.68299997</v>
          </cell>
          <cell r="AJ11">
            <v>367052019.5</v>
          </cell>
          <cell r="AK11">
            <v>239744377.11199999</v>
          </cell>
        </row>
        <row r="12">
          <cell r="AI12">
            <v>46899348.169</v>
          </cell>
          <cell r="AJ12">
            <v>45767179.559999995</v>
          </cell>
          <cell r="AK12">
            <v>37290962.982000001</v>
          </cell>
        </row>
        <row r="13">
          <cell r="AI13">
            <v>15036379</v>
          </cell>
          <cell r="AJ13">
            <v>8701709</v>
          </cell>
          <cell r="AK13">
            <v>3791985.9279999998</v>
          </cell>
        </row>
        <row r="14">
          <cell r="AI14">
            <v>171850429.38</v>
          </cell>
          <cell r="AJ14">
            <v>164709235</v>
          </cell>
          <cell r="AK14">
            <v>164198463</v>
          </cell>
        </row>
        <row r="15">
          <cell r="AI15">
            <v>2108631</v>
          </cell>
          <cell r="AJ15">
            <v>2450282</v>
          </cell>
          <cell r="AK15">
            <v>2169967</v>
          </cell>
        </row>
        <row r="16">
          <cell r="AI16">
            <v>13353800</v>
          </cell>
          <cell r="AJ16">
            <v>15374000</v>
          </cell>
          <cell r="AK16">
            <v>14392600</v>
          </cell>
        </row>
        <row r="17">
          <cell r="AI17">
            <v>566633789.75699997</v>
          </cell>
          <cell r="AJ17">
            <v>527199626.12100005</v>
          </cell>
          <cell r="AK17">
            <v>432092395.33099991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STB_FS_полугодовой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STB_FS_квартально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ktioner"/>
      <sheetName val="utveckling"/>
      <sheetName val="mer tabeller"/>
      <sheetName val="rubriker"/>
      <sheetName val="indata hist sifferläget"/>
      <sheetName val="jmf"/>
      <sheetName val="figur 7 ny"/>
      <sheetName val="Tabeller"/>
      <sheetName val="indata extra"/>
      <sheetName val="BoS"/>
      <sheetName val="indata"/>
      <sheetName val="ind"/>
      <sheetName val="transp"/>
      <sheetName val="balans"/>
      <sheetName val="olja"/>
      <sheetName val="fjv"/>
      <sheetName val="bio"/>
      <sheetName val="kol"/>
      <sheetName val="gas"/>
      <sheetName val="el"/>
      <sheetName val="indata hist ind"/>
      <sheetName val="indata hist arel"/>
      <sheetName val="beräkning"/>
      <sheetName val="Sektorsstrategier"/>
      <sheetName val="Blad1"/>
      <sheetName val="Blad2"/>
      <sheetName val="Indikator 1"/>
      <sheetName val="balans 2012 (TJ)"/>
      <sheetName val="kvv2012"/>
      <sheetName val="CO2fig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8">
          <cell r="D48" t="str">
            <v>biobränsle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4.7633886166123256</v>
          </cell>
          <cell r="AF48">
            <v>0</v>
          </cell>
          <cell r="AG48">
            <v>14.151</v>
          </cell>
          <cell r="AH48">
            <v>0.37500000000000006</v>
          </cell>
          <cell r="AI48">
            <v>1.163</v>
          </cell>
          <cell r="AJ48">
            <v>0.78175697000000011</v>
          </cell>
          <cell r="AK48">
            <v>0</v>
          </cell>
          <cell r="AL48">
            <v>1.4513077000000001</v>
          </cell>
          <cell r="AM48">
            <v>0.34889999999999999</v>
          </cell>
          <cell r="AN48">
            <v>2</v>
          </cell>
          <cell r="AO48">
            <v>6</v>
          </cell>
          <cell r="AP48">
            <v>8</v>
          </cell>
          <cell r="AQ48">
            <v>16</v>
          </cell>
          <cell r="AR48">
            <v>15</v>
          </cell>
          <cell r="AS48">
            <v>18</v>
          </cell>
          <cell r="AT48">
            <v>16</v>
          </cell>
          <cell r="AU48">
            <v>22</v>
          </cell>
          <cell r="AV48">
            <v>19</v>
          </cell>
          <cell r="AW48">
            <v>49</v>
          </cell>
          <cell r="AX48">
            <v>136</v>
          </cell>
          <cell r="AY48">
            <v>545</v>
          </cell>
          <cell r="AZ48">
            <v>666</v>
          </cell>
          <cell r="BA48">
            <v>751</v>
          </cell>
          <cell r="BB48">
            <v>1</v>
          </cell>
        </row>
        <row r="49">
          <cell r="D49" t="str">
            <v>kol</v>
          </cell>
          <cell r="Y49">
            <v>551.12534749999998</v>
          </cell>
          <cell r="Z49">
            <v>564.16548499999999</v>
          </cell>
          <cell r="AA49">
            <v>569.98630000000003</v>
          </cell>
          <cell r="AB49">
            <v>541.53990150000004</v>
          </cell>
          <cell r="AC49">
            <v>512.54921899999999</v>
          </cell>
          <cell r="AD49">
            <v>664.78242999999998</v>
          </cell>
          <cell r="AE49">
            <v>824.57612809351383</v>
          </cell>
          <cell r="AF49">
            <v>839.10450000000003</v>
          </cell>
          <cell r="AG49">
            <v>657.67650000000003</v>
          </cell>
          <cell r="AH49">
            <v>545.12877412499995</v>
          </cell>
          <cell r="AI49">
            <v>746.87860000000001</v>
          </cell>
          <cell r="AJ49">
            <v>700.00969999999995</v>
          </cell>
          <cell r="AK49">
            <v>823.9855</v>
          </cell>
          <cell r="AL49">
            <v>689.76657750000004</v>
          </cell>
          <cell r="AM49">
            <v>711.28091449999999</v>
          </cell>
          <cell r="AN49">
            <v>2778</v>
          </cell>
          <cell r="AO49">
            <v>2767</v>
          </cell>
          <cell r="AP49">
            <v>2895</v>
          </cell>
          <cell r="AQ49">
            <v>2931</v>
          </cell>
          <cell r="AR49">
            <v>2504</v>
          </cell>
          <cell r="AS49">
            <v>3931</v>
          </cell>
          <cell r="AT49">
            <v>4075</v>
          </cell>
          <cell r="AU49">
            <v>4080</v>
          </cell>
          <cell r="AV49">
            <v>4317</v>
          </cell>
          <cell r="AW49">
            <v>4343</v>
          </cell>
          <cell r="AX49">
            <v>4178</v>
          </cell>
          <cell r="AY49">
            <v>4350</v>
          </cell>
          <cell r="AZ49">
            <v>4489</v>
          </cell>
          <cell r="BA49">
            <v>3621</v>
          </cell>
          <cell r="BB49">
            <v>2</v>
          </cell>
        </row>
        <row r="50">
          <cell r="D50" t="str">
            <v>koks</v>
          </cell>
          <cell r="Y50">
            <v>499.38010479999991</v>
          </cell>
          <cell r="Z50">
            <v>20.571144</v>
          </cell>
          <cell r="AA50">
            <v>27.171052700000001</v>
          </cell>
          <cell r="AB50">
            <v>3.3817713999999999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3</v>
          </cell>
        </row>
        <row r="51">
          <cell r="D51" t="str">
            <v>gasol</v>
          </cell>
          <cell r="Y51">
            <v>45.428298100000006</v>
          </cell>
          <cell r="Z51">
            <v>55.662343</v>
          </cell>
          <cell r="AA51">
            <v>43.636922999999996</v>
          </cell>
          <cell r="AB51">
            <v>35.283093999999998</v>
          </cell>
          <cell r="AC51">
            <v>30.165893999999998</v>
          </cell>
          <cell r="AD51">
            <v>38.375650462558902</v>
          </cell>
          <cell r="AE51">
            <v>43.419441999999997</v>
          </cell>
          <cell r="AF51">
            <v>14.584019999999997</v>
          </cell>
          <cell r="AG51">
            <v>14.517496399999999</v>
          </cell>
          <cell r="AH51">
            <v>18.936838250000001</v>
          </cell>
          <cell r="AI51">
            <v>20.468800000000002</v>
          </cell>
          <cell r="AJ51">
            <v>25.585999999999999</v>
          </cell>
          <cell r="AK51">
            <v>25.586200000000002</v>
          </cell>
          <cell r="AL51">
            <v>20.817571975000003</v>
          </cell>
          <cell r="AM51">
            <v>16.208857699999999</v>
          </cell>
          <cell r="AN51">
            <v>68</v>
          </cell>
          <cell r="AO51">
            <v>97</v>
          </cell>
          <cell r="AP51">
            <v>99</v>
          </cell>
          <cell r="AQ51">
            <v>108</v>
          </cell>
          <cell r="AR51">
            <v>97</v>
          </cell>
          <cell r="AS51">
            <v>166</v>
          </cell>
          <cell r="AT51">
            <v>112</v>
          </cell>
          <cell r="AU51">
            <v>114</v>
          </cell>
          <cell r="AV51">
            <v>112</v>
          </cell>
          <cell r="AW51">
            <v>140</v>
          </cell>
          <cell r="AX51">
            <v>108</v>
          </cell>
          <cell r="AY51">
            <v>159</v>
          </cell>
          <cell r="AZ51">
            <v>168</v>
          </cell>
          <cell r="BA51">
            <v>194</v>
          </cell>
          <cell r="BB51">
            <v>4</v>
          </cell>
        </row>
        <row r="52">
          <cell r="D52" t="str">
            <v>bensin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1</v>
          </cell>
          <cell r="AX52">
            <v>0</v>
          </cell>
          <cell r="AY52">
            <v>1</v>
          </cell>
          <cell r="AZ52">
            <v>1</v>
          </cell>
          <cell r="BA52">
            <v>0</v>
          </cell>
          <cell r="BB52">
            <v>5</v>
          </cell>
        </row>
        <row r="53">
          <cell r="D53" t="str">
            <v>lättoljor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6</v>
          </cell>
        </row>
        <row r="54">
          <cell r="D54" t="str">
            <v>diesel</v>
          </cell>
          <cell r="Y54">
            <v>77.591289500000002</v>
          </cell>
          <cell r="Z54">
            <v>45.433758000000005</v>
          </cell>
          <cell r="AA54">
            <v>31.771997000000002</v>
          </cell>
          <cell r="AB54">
            <v>36.309441499999998</v>
          </cell>
          <cell r="AC54">
            <v>33.462417500000001</v>
          </cell>
          <cell r="AD54">
            <v>33.076883000000002</v>
          </cell>
          <cell r="AE54">
            <v>27.155468500000001</v>
          </cell>
          <cell r="AF54">
            <v>68.384275153703527</v>
          </cell>
          <cell r="AG54">
            <v>45.064747793385841</v>
          </cell>
          <cell r="AH54">
            <v>37.026662405634127</v>
          </cell>
          <cell r="AI54">
            <v>53.381700000000002</v>
          </cell>
          <cell r="AJ54">
            <v>99.63300000000001</v>
          </cell>
          <cell r="AK54">
            <v>69.743099999999998</v>
          </cell>
          <cell r="AL54">
            <v>71.445130539000004</v>
          </cell>
          <cell r="AM54">
            <v>60.736276800000006</v>
          </cell>
          <cell r="AN54">
            <v>263</v>
          </cell>
          <cell r="AO54">
            <v>274</v>
          </cell>
          <cell r="AP54">
            <v>231</v>
          </cell>
          <cell r="AQ54">
            <v>463</v>
          </cell>
          <cell r="AR54">
            <v>299</v>
          </cell>
          <cell r="AS54">
            <v>384</v>
          </cell>
          <cell r="AT54">
            <v>293</v>
          </cell>
          <cell r="AU54">
            <v>285</v>
          </cell>
          <cell r="AV54">
            <v>168</v>
          </cell>
          <cell r="AW54">
            <v>278</v>
          </cell>
          <cell r="AX54">
            <v>553</v>
          </cell>
          <cell r="AY54">
            <v>1583</v>
          </cell>
          <cell r="AZ54">
            <v>1690</v>
          </cell>
          <cell r="BA54">
            <v>1718</v>
          </cell>
          <cell r="BB54">
            <v>7</v>
          </cell>
        </row>
        <row r="55">
          <cell r="D55" t="str">
            <v>eo1</v>
          </cell>
          <cell r="Y55">
            <v>136.66703749999999</v>
          </cell>
          <cell r="Z55">
            <v>118.54691600000001</v>
          </cell>
          <cell r="AA55">
            <v>99.319618500000004</v>
          </cell>
          <cell r="AB55">
            <v>107.297217</v>
          </cell>
          <cell r="AC55">
            <v>106.1801555</v>
          </cell>
          <cell r="AD55">
            <v>154.37196800000001</v>
          </cell>
          <cell r="AE55">
            <v>124.80443750000001</v>
          </cell>
          <cell r="AF55">
            <v>125.94127</v>
          </cell>
          <cell r="AG55">
            <v>171.95530685</v>
          </cell>
          <cell r="AH55">
            <v>205.19035785000003</v>
          </cell>
          <cell r="AI55">
            <v>160.14510000000001</v>
          </cell>
          <cell r="AJ55">
            <v>179.33940000000001</v>
          </cell>
          <cell r="AK55">
            <v>99.63300000000001</v>
          </cell>
          <cell r="AL55">
            <v>121.25495512799999</v>
          </cell>
          <cell r="AM55">
            <v>169.37610000000001</v>
          </cell>
          <cell r="AN55">
            <v>411</v>
          </cell>
          <cell r="AO55">
            <v>411</v>
          </cell>
          <cell r="AP55">
            <v>646</v>
          </cell>
          <cell r="AQ55">
            <v>758</v>
          </cell>
          <cell r="AR55">
            <v>758</v>
          </cell>
          <cell r="AS55">
            <v>653</v>
          </cell>
          <cell r="AT55">
            <v>563</v>
          </cell>
          <cell r="AU55">
            <v>624</v>
          </cell>
          <cell r="AV55">
            <v>544</v>
          </cell>
          <cell r="AW55">
            <v>555</v>
          </cell>
          <cell r="AX55">
            <v>531</v>
          </cell>
          <cell r="AY55">
            <v>512</v>
          </cell>
          <cell r="AZ55">
            <v>578</v>
          </cell>
          <cell r="BA55">
            <v>749</v>
          </cell>
          <cell r="BB55">
            <v>8</v>
          </cell>
        </row>
        <row r="56">
          <cell r="D56" t="str">
            <v>eo2-6</v>
          </cell>
          <cell r="Y56">
            <v>654.59989979999989</v>
          </cell>
          <cell r="Z56">
            <v>451.50974549999995</v>
          </cell>
          <cell r="AA56">
            <v>433.80411719999995</v>
          </cell>
          <cell r="AB56">
            <v>407.37246571006494</v>
          </cell>
          <cell r="AC56">
            <v>520.03928789999998</v>
          </cell>
          <cell r="AD56">
            <v>624.89943840000001</v>
          </cell>
          <cell r="AE56">
            <v>577.28784659999997</v>
          </cell>
          <cell r="AF56">
            <v>512.97650519999991</v>
          </cell>
          <cell r="AG56">
            <v>619.31843399999991</v>
          </cell>
          <cell r="AH56">
            <v>628.77044900999999</v>
          </cell>
          <cell r="AI56">
            <v>832.82429999999999</v>
          </cell>
          <cell r="AJ56">
            <v>614.30119999999999</v>
          </cell>
          <cell r="AK56">
            <v>444.83879999999999</v>
          </cell>
          <cell r="AL56">
            <v>437.71817150000004</v>
          </cell>
          <cell r="AM56">
            <v>402.154</v>
          </cell>
          <cell r="AN56">
            <v>1493</v>
          </cell>
          <cell r="AO56">
            <v>1682</v>
          </cell>
          <cell r="AP56">
            <v>1963</v>
          </cell>
          <cell r="AQ56">
            <v>2377</v>
          </cell>
          <cell r="AR56">
            <v>1650</v>
          </cell>
          <cell r="AS56">
            <v>2376</v>
          </cell>
          <cell r="AT56">
            <v>2388</v>
          </cell>
          <cell r="AU56">
            <v>2403</v>
          </cell>
          <cell r="AV56">
            <v>1895</v>
          </cell>
          <cell r="AW56">
            <v>1908</v>
          </cell>
          <cell r="AX56">
            <v>1496</v>
          </cell>
          <cell r="AY56">
            <v>1604</v>
          </cell>
          <cell r="AZ56">
            <v>1619</v>
          </cell>
          <cell r="BA56">
            <v>2114</v>
          </cell>
          <cell r="BB56">
            <v>9</v>
          </cell>
        </row>
        <row r="57">
          <cell r="D57" t="str">
            <v>övriga petroleumprodukter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10</v>
          </cell>
        </row>
        <row r="58">
          <cell r="D58" t="str">
            <v>naturgas</v>
          </cell>
          <cell r="Y58">
            <v>20.411999999999999</v>
          </cell>
          <cell r="Z58">
            <v>10.26</v>
          </cell>
          <cell r="AA58">
            <v>13.327200000000001</v>
          </cell>
          <cell r="AB58">
            <v>13.462200000000001</v>
          </cell>
          <cell r="AC58">
            <v>1.1761200000000001</v>
          </cell>
          <cell r="AD58">
            <v>0.71928000000000003</v>
          </cell>
          <cell r="AE58">
            <v>2.0120399999999998</v>
          </cell>
          <cell r="AF58">
            <v>7.6204800000000006</v>
          </cell>
          <cell r="AG58">
            <v>13.52538</v>
          </cell>
          <cell r="AH58">
            <v>17.89452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1</v>
          </cell>
          <cell r="AO58">
            <v>26</v>
          </cell>
          <cell r="AP58">
            <v>26</v>
          </cell>
          <cell r="AQ58">
            <v>26</v>
          </cell>
          <cell r="AR58">
            <v>25</v>
          </cell>
          <cell r="AS58">
            <v>26</v>
          </cell>
          <cell r="AT58">
            <v>26</v>
          </cell>
          <cell r="AU58">
            <v>1</v>
          </cell>
          <cell r="AV58">
            <v>1</v>
          </cell>
          <cell r="AW58">
            <v>1</v>
          </cell>
          <cell r="AX58">
            <v>117</v>
          </cell>
          <cell r="AY58">
            <v>152</v>
          </cell>
          <cell r="AZ58">
            <v>134</v>
          </cell>
          <cell r="BA58">
            <v>163</v>
          </cell>
          <cell r="BB58">
            <v>11</v>
          </cell>
        </row>
        <row r="59">
          <cell r="D59" t="str">
            <v>stadsgas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12</v>
          </cell>
        </row>
        <row r="60">
          <cell r="D60" t="str">
            <v>masugnsgas m.m.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13</v>
          </cell>
        </row>
        <row r="61">
          <cell r="D61" t="str">
            <v>övriga bränslen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8.141000000000001E-2</v>
          </cell>
          <cell r="AI61">
            <v>0</v>
          </cell>
          <cell r="AJ61">
            <v>0.25756844700000003</v>
          </cell>
          <cell r="AK61">
            <v>1.6282E-3</v>
          </cell>
          <cell r="AL61">
            <v>4.6868899999999998E-2</v>
          </cell>
          <cell r="AM61">
            <v>1.6282E-3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14</v>
          </cell>
        </row>
        <row r="62">
          <cell r="D62" t="str">
            <v>fjärrvärme</v>
          </cell>
          <cell r="Y62">
            <v>7.2720000000000002</v>
          </cell>
          <cell r="Z62">
            <v>12.997999999999999</v>
          </cell>
          <cell r="AA62">
            <v>11.98</v>
          </cell>
          <cell r="AB62">
            <v>1.2812089185336473</v>
          </cell>
          <cell r="AC62">
            <v>13.289448614380369</v>
          </cell>
          <cell r="AD62">
            <v>10.214682276311599</v>
          </cell>
          <cell r="AE62">
            <v>12.446127303540619</v>
          </cell>
          <cell r="AF62">
            <v>0.683141242714006</v>
          </cell>
          <cell r="AG62">
            <v>0.57299999999999995</v>
          </cell>
          <cell r="AH62">
            <v>0.9042</v>
          </cell>
          <cell r="AI62">
            <v>0.71471879327482313</v>
          </cell>
          <cell r="AJ62">
            <v>0.56305866178466013</v>
          </cell>
          <cell r="AK62">
            <v>0.57274488094404774</v>
          </cell>
          <cell r="AL62">
            <v>9</v>
          </cell>
          <cell r="AM62">
            <v>4</v>
          </cell>
          <cell r="AN62">
            <v>31</v>
          </cell>
          <cell r="AO62">
            <v>33</v>
          </cell>
          <cell r="AP62">
            <v>25</v>
          </cell>
          <cell r="AQ62">
            <v>3</v>
          </cell>
          <cell r="AR62">
            <v>5</v>
          </cell>
          <cell r="AS62">
            <v>29</v>
          </cell>
          <cell r="AT62">
            <v>30</v>
          </cell>
          <cell r="AU62">
            <v>34</v>
          </cell>
          <cell r="AV62">
            <v>24</v>
          </cell>
          <cell r="AW62">
            <v>20</v>
          </cell>
          <cell r="AX62">
            <v>18</v>
          </cell>
          <cell r="AY62">
            <v>17</v>
          </cell>
          <cell r="AZ62">
            <v>18</v>
          </cell>
          <cell r="BA62">
            <v>17</v>
          </cell>
          <cell r="BB62">
            <v>15</v>
          </cell>
        </row>
        <row r="63">
          <cell r="D63" t="str">
            <v>el</v>
          </cell>
          <cell r="Y63">
            <v>2385.4360000000001</v>
          </cell>
          <cell r="Z63">
            <v>2472.9459999999999</v>
          </cell>
          <cell r="AA63">
            <v>2245.9679999999998</v>
          </cell>
          <cell r="AB63">
            <v>2243.279</v>
          </cell>
          <cell r="AC63">
            <v>2307.299</v>
          </cell>
          <cell r="AD63">
            <v>2446.5549999999998</v>
          </cell>
          <cell r="AE63">
            <v>2516.4450000000002</v>
          </cell>
          <cell r="AF63">
            <v>2558.4457992704151</v>
          </cell>
          <cell r="AG63">
            <v>2583.9252941664931</v>
          </cell>
          <cell r="AH63">
            <v>2452.0893399234501</v>
          </cell>
          <cell r="AI63">
            <v>2598</v>
          </cell>
          <cell r="AJ63">
            <v>2546</v>
          </cell>
          <cell r="AK63">
            <v>2572</v>
          </cell>
          <cell r="AL63">
            <v>2583</v>
          </cell>
          <cell r="AM63">
            <v>2515</v>
          </cell>
          <cell r="AN63">
            <v>9221</v>
          </cell>
          <cell r="AO63">
            <v>9156</v>
          </cell>
          <cell r="AP63">
            <v>9822</v>
          </cell>
          <cell r="AQ63">
            <v>9988</v>
          </cell>
          <cell r="AR63">
            <v>8724</v>
          </cell>
          <cell r="AS63">
            <v>11390</v>
          </cell>
          <cell r="AT63">
            <v>11970</v>
          </cell>
          <cell r="AU63">
            <v>11840</v>
          </cell>
          <cell r="AV63">
            <v>13327</v>
          </cell>
          <cell r="AW63">
            <v>12887</v>
          </cell>
          <cell r="AX63">
            <v>12707</v>
          </cell>
          <cell r="AY63">
            <v>13005</v>
          </cell>
          <cell r="AZ63">
            <v>13417</v>
          </cell>
          <cell r="BA63">
            <v>13419</v>
          </cell>
          <cell r="BB63">
            <v>16</v>
          </cell>
        </row>
        <row r="64">
          <cell r="D64" t="str">
            <v>totalt</v>
          </cell>
          <cell r="Y64">
            <v>4377.9119772000004</v>
          </cell>
          <cell r="Z64">
            <v>3752.0933914999996</v>
          </cell>
          <cell r="AA64">
            <v>3476.9652083999999</v>
          </cell>
          <cell r="AB64">
            <v>3389.2063000285989</v>
          </cell>
          <cell r="AC64">
            <v>3524.16154251438</v>
          </cell>
          <cell r="AD64">
            <v>3972.9953321388703</v>
          </cell>
          <cell r="AE64">
            <v>4132.9098786136674</v>
          </cell>
          <cell r="AF64">
            <v>4127.7399908668322</v>
          </cell>
          <cell r="AG64">
            <v>4120.7071592098791</v>
          </cell>
          <cell r="AH64">
            <v>3906.3975515640841</v>
          </cell>
          <cell r="AI64">
            <v>4413.5762187932751</v>
          </cell>
          <cell r="AJ64">
            <v>4166.4716840787851</v>
          </cell>
          <cell r="AK64">
            <v>4036.3609730809439</v>
          </cell>
          <cell r="AL64">
            <v>3934.5005832420002</v>
          </cell>
          <cell r="AM64">
            <v>3879.1066771999999</v>
          </cell>
          <cell r="AN64">
            <v>14268</v>
          </cell>
          <cell r="AO64">
            <v>14452</v>
          </cell>
          <cell r="AP64">
            <v>15715</v>
          </cell>
          <cell r="AQ64">
            <v>16670</v>
          </cell>
          <cell r="AR64">
            <v>14077</v>
          </cell>
          <cell r="AS64">
            <v>18973</v>
          </cell>
          <cell r="AT64">
            <v>19473</v>
          </cell>
          <cell r="AU64">
            <v>19403</v>
          </cell>
          <cell r="AV64">
            <v>20407</v>
          </cell>
          <cell r="AW64">
            <v>20182</v>
          </cell>
          <cell r="AX64">
            <v>19844</v>
          </cell>
          <cell r="AY64">
            <v>21928</v>
          </cell>
          <cell r="AZ64">
            <v>22780</v>
          </cell>
          <cell r="BA64">
            <v>22746</v>
          </cell>
          <cell r="BB64">
            <v>17</v>
          </cell>
        </row>
        <row r="66">
          <cell r="D66" t="str">
            <v>biobränsle</v>
          </cell>
          <cell r="Y66">
            <v>46.52</v>
          </cell>
          <cell r="Z66">
            <v>46.52</v>
          </cell>
          <cell r="AA66">
            <v>34.89</v>
          </cell>
          <cell r="AB66">
            <v>46.52</v>
          </cell>
          <cell r="AC66">
            <v>0</v>
          </cell>
          <cell r="AD66">
            <v>23.26</v>
          </cell>
          <cell r="AE66">
            <v>303.16368441780787</v>
          </cell>
          <cell r="AF66">
            <v>76.849728349070134</v>
          </cell>
          <cell r="AG66">
            <v>113.34525000000001</v>
          </cell>
          <cell r="AH66">
            <v>440.14722083333345</v>
          </cell>
          <cell r="AI66">
            <v>79.084000000000003</v>
          </cell>
          <cell r="AJ66">
            <v>43.829120380000006</v>
          </cell>
          <cell r="AK66">
            <v>23.26</v>
          </cell>
          <cell r="AL66">
            <v>23.26</v>
          </cell>
          <cell r="AM66">
            <v>8.8853200000000001</v>
          </cell>
          <cell r="AN66">
            <v>234</v>
          </cell>
          <cell r="AO66">
            <v>764</v>
          </cell>
          <cell r="AP66">
            <v>1071</v>
          </cell>
          <cell r="AQ66">
            <v>1637</v>
          </cell>
          <cell r="AR66">
            <v>1377</v>
          </cell>
          <cell r="AS66">
            <v>1476</v>
          </cell>
          <cell r="AT66">
            <v>1048</v>
          </cell>
          <cell r="AU66">
            <v>1176</v>
          </cell>
          <cell r="AV66">
            <v>1304</v>
          </cell>
          <cell r="AW66">
            <v>1661</v>
          </cell>
          <cell r="AX66">
            <v>1434</v>
          </cell>
          <cell r="AY66">
            <v>1717</v>
          </cell>
          <cell r="AZ66">
            <v>2152</v>
          </cell>
          <cell r="BA66">
            <v>1854</v>
          </cell>
          <cell r="BB66">
            <v>19</v>
          </cell>
        </row>
        <row r="67">
          <cell r="D67" t="str">
            <v>kol</v>
          </cell>
          <cell r="Y67">
            <v>317.95257000000004</v>
          </cell>
          <cell r="Z67">
            <v>167.97208999999998</v>
          </cell>
          <cell r="AA67">
            <v>123.68853899999999</v>
          </cell>
          <cell r="AB67">
            <v>180.3923485</v>
          </cell>
          <cell r="AC67">
            <v>180.838359</v>
          </cell>
          <cell r="AD67">
            <v>204.31060650000001</v>
          </cell>
          <cell r="AE67">
            <v>208.17247852499671</v>
          </cell>
          <cell r="AF67">
            <v>158.74950000000001</v>
          </cell>
          <cell r="AG67">
            <v>143.63049999999998</v>
          </cell>
          <cell r="AH67">
            <v>149.67054049999999</v>
          </cell>
          <cell r="AI67">
            <v>145.89834999999999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20</v>
          </cell>
          <cell r="AO67">
            <v>16</v>
          </cell>
          <cell r="AP67">
            <v>1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20</v>
          </cell>
        </row>
        <row r="68">
          <cell r="D68" t="str">
            <v>koks</v>
          </cell>
          <cell r="Y68">
            <v>52.472001399999996</v>
          </cell>
          <cell r="Z68">
            <v>80.889790099999999</v>
          </cell>
          <cell r="AA68">
            <v>126.13072270000001</v>
          </cell>
          <cell r="AB68">
            <v>157.89132230000001</v>
          </cell>
          <cell r="AC68">
            <v>140.30529468256162</v>
          </cell>
          <cell r="AD68">
            <v>144.42727496234681</v>
          </cell>
          <cell r="AE68">
            <v>38.960499999999996</v>
          </cell>
          <cell r="AF68">
            <v>31.168399999999998</v>
          </cell>
          <cell r="AG68">
            <v>38.960499999999996</v>
          </cell>
          <cell r="AH68">
            <v>38.960499999999996</v>
          </cell>
          <cell r="AI68">
            <v>13.246569999999998</v>
          </cell>
          <cell r="AJ68">
            <v>14.025779999999999</v>
          </cell>
          <cell r="AK68">
            <v>15.584199999999999</v>
          </cell>
          <cell r="AL68">
            <v>12.327102200000001</v>
          </cell>
          <cell r="AM68">
            <v>11.2440003</v>
          </cell>
          <cell r="AN68">
            <v>77</v>
          </cell>
          <cell r="AO68">
            <v>92</v>
          </cell>
          <cell r="AP68">
            <v>94</v>
          </cell>
          <cell r="AQ68">
            <v>96</v>
          </cell>
          <cell r="AR68">
            <v>104</v>
          </cell>
          <cell r="AS68">
            <v>78</v>
          </cell>
          <cell r="AT68">
            <v>126</v>
          </cell>
          <cell r="AU68">
            <v>99</v>
          </cell>
          <cell r="AV68">
            <v>98</v>
          </cell>
          <cell r="AW68">
            <v>109</v>
          </cell>
          <cell r="AX68">
            <v>50</v>
          </cell>
          <cell r="AY68">
            <v>89</v>
          </cell>
          <cell r="AZ68">
            <v>97</v>
          </cell>
          <cell r="BA68">
            <v>95</v>
          </cell>
          <cell r="BB68">
            <v>21</v>
          </cell>
        </row>
        <row r="69">
          <cell r="D69" t="str">
            <v>gasol</v>
          </cell>
          <cell r="Y69">
            <v>240.63821100000001</v>
          </cell>
          <cell r="Z69">
            <v>345.92271999999997</v>
          </cell>
          <cell r="AA69">
            <v>404.629797</v>
          </cell>
          <cell r="AB69">
            <v>505.70729</v>
          </cell>
          <cell r="AC69">
            <v>530.39778000000001</v>
          </cell>
          <cell r="AD69">
            <v>384.65083112235988</v>
          </cell>
          <cell r="AE69">
            <v>451.00442199999992</v>
          </cell>
          <cell r="AF69">
            <v>463.56368939637406</v>
          </cell>
          <cell r="AG69">
            <v>458.22607049999999</v>
          </cell>
          <cell r="AH69">
            <v>417.41130106805548</v>
          </cell>
          <cell r="AI69">
            <v>309.59059999999999</v>
          </cell>
          <cell r="AJ69">
            <v>243.06699999999998</v>
          </cell>
          <cell r="AK69">
            <v>294.24130000000002</v>
          </cell>
          <cell r="AL69">
            <v>277.66272171000003</v>
          </cell>
          <cell r="AM69">
            <v>287.06437090000003</v>
          </cell>
          <cell r="AN69">
            <v>715</v>
          </cell>
          <cell r="AO69">
            <v>750</v>
          </cell>
          <cell r="AP69">
            <v>804</v>
          </cell>
          <cell r="AQ69">
            <v>776</v>
          </cell>
          <cell r="AR69">
            <v>888</v>
          </cell>
          <cell r="AS69">
            <v>958</v>
          </cell>
          <cell r="AT69">
            <v>1021</v>
          </cell>
          <cell r="AU69">
            <v>966</v>
          </cell>
          <cell r="AV69">
            <v>964</v>
          </cell>
          <cell r="AW69">
            <v>1143</v>
          </cell>
          <cell r="AX69">
            <v>1003</v>
          </cell>
          <cell r="AY69">
            <v>1053</v>
          </cell>
          <cell r="AZ69">
            <v>1091</v>
          </cell>
          <cell r="BA69">
            <v>1088</v>
          </cell>
          <cell r="BB69">
            <v>22</v>
          </cell>
        </row>
        <row r="70">
          <cell r="D70" t="str">
            <v>bensin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1</v>
          </cell>
          <cell r="AO70">
            <v>0</v>
          </cell>
          <cell r="AP70">
            <v>0</v>
          </cell>
          <cell r="AQ70">
            <v>1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1</v>
          </cell>
          <cell r="BA70">
            <v>1</v>
          </cell>
          <cell r="BB70">
            <v>23</v>
          </cell>
        </row>
        <row r="71">
          <cell r="D71" t="str">
            <v>lättoljor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24</v>
          </cell>
        </row>
        <row r="72">
          <cell r="D72" t="str">
            <v>diesel</v>
          </cell>
          <cell r="Y72">
            <v>2.3033215</v>
          </cell>
          <cell r="Z72">
            <v>1.4729395000000001</v>
          </cell>
          <cell r="AA72">
            <v>2.9359934999999999</v>
          </cell>
          <cell r="AB72">
            <v>2.9261080000000002</v>
          </cell>
          <cell r="AC72">
            <v>7.5426365000000004</v>
          </cell>
          <cell r="AD72">
            <v>6.4156895</v>
          </cell>
          <cell r="AE72">
            <v>3.8355740000000003</v>
          </cell>
          <cell r="AF72">
            <v>11.55736215477701</v>
          </cell>
          <cell r="AG72">
            <v>25.395922454652446</v>
          </cell>
          <cell r="AH72">
            <v>28.760994492889743</v>
          </cell>
          <cell r="AI72">
            <v>37.564900000000002</v>
          </cell>
          <cell r="AJ72">
            <v>19.926600000000001</v>
          </cell>
          <cell r="AK72">
            <v>9.9633000000000003</v>
          </cell>
          <cell r="AL72">
            <v>9.1400325210000002</v>
          </cell>
          <cell r="AM72">
            <v>2.7299442000000003</v>
          </cell>
          <cell r="AN72">
            <v>14</v>
          </cell>
          <cell r="AO72">
            <v>5</v>
          </cell>
          <cell r="AP72">
            <v>6</v>
          </cell>
          <cell r="AQ72">
            <v>13</v>
          </cell>
          <cell r="AR72">
            <v>11</v>
          </cell>
          <cell r="AS72">
            <v>4</v>
          </cell>
          <cell r="AT72">
            <v>10</v>
          </cell>
          <cell r="AU72">
            <v>8</v>
          </cell>
          <cell r="AV72">
            <v>4</v>
          </cell>
          <cell r="AW72">
            <v>22</v>
          </cell>
          <cell r="AX72">
            <v>19</v>
          </cell>
          <cell r="AY72">
            <v>58</v>
          </cell>
          <cell r="AZ72">
            <v>32</v>
          </cell>
          <cell r="BA72">
            <v>36</v>
          </cell>
          <cell r="BB72">
            <v>25</v>
          </cell>
        </row>
        <row r="73">
          <cell r="D73" t="str">
            <v>eo1</v>
          </cell>
          <cell r="Y73">
            <v>511.27805999999998</v>
          </cell>
          <cell r="Z73">
            <v>460.189796</v>
          </cell>
          <cell r="AA73">
            <v>462.16689600000007</v>
          </cell>
          <cell r="AB73">
            <v>481.92801049999997</v>
          </cell>
          <cell r="AC73">
            <v>506.54290550000002</v>
          </cell>
          <cell r="AD73">
            <v>509.66672350000005</v>
          </cell>
          <cell r="AE73">
            <v>622.48993500000006</v>
          </cell>
          <cell r="AF73">
            <v>616.92439849999994</v>
          </cell>
          <cell r="AG73">
            <v>632.96559934999993</v>
          </cell>
          <cell r="AH73">
            <v>729.47055111929467</v>
          </cell>
          <cell r="AI73">
            <v>600.04985000000011</v>
          </cell>
          <cell r="AJ73">
            <v>607.76130000000001</v>
          </cell>
          <cell r="AK73">
            <v>597.798</v>
          </cell>
          <cell r="AL73">
            <v>691.92318812700012</v>
          </cell>
          <cell r="AM73">
            <v>498.16500000000002</v>
          </cell>
          <cell r="AN73">
            <v>1677</v>
          </cell>
          <cell r="AO73">
            <v>1686</v>
          </cell>
          <cell r="AP73">
            <v>1482</v>
          </cell>
          <cell r="AQ73">
            <v>1549</v>
          </cell>
          <cell r="AR73">
            <v>1406</v>
          </cell>
          <cell r="AS73">
            <v>1342</v>
          </cell>
          <cell r="AT73">
            <v>1248</v>
          </cell>
          <cell r="AU73">
            <v>1068</v>
          </cell>
          <cell r="AV73">
            <v>1034</v>
          </cell>
          <cell r="AW73">
            <v>890</v>
          </cell>
          <cell r="AX73">
            <v>781</v>
          </cell>
          <cell r="AY73">
            <v>706</v>
          </cell>
          <cell r="AZ73">
            <v>643</v>
          </cell>
          <cell r="BA73">
            <v>639</v>
          </cell>
          <cell r="BB73">
            <v>26</v>
          </cell>
        </row>
        <row r="74">
          <cell r="D74" t="str">
            <v>eo2-6</v>
          </cell>
          <cell r="Y74">
            <v>1470.7677137999999</v>
          </cell>
          <cell r="Z74">
            <v>1168.1820954</v>
          </cell>
          <cell r="AA74">
            <v>1013.4498299999999</v>
          </cell>
          <cell r="AB74">
            <v>1017.5411324826692</v>
          </cell>
          <cell r="AC74">
            <v>1028.8733033999999</v>
          </cell>
          <cell r="AD74">
            <v>1245.5049644999999</v>
          </cell>
          <cell r="AE74">
            <v>1112.1016539</v>
          </cell>
          <cell r="AF74">
            <v>1171.7720336869565</v>
          </cell>
          <cell r="AG74">
            <v>860.53247262000002</v>
          </cell>
          <cell r="AH74">
            <v>863.05726420999986</v>
          </cell>
          <cell r="AI74">
            <v>890.14856999999995</v>
          </cell>
          <cell r="AJ74">
            <v>709.62379999999996</v>
          </cell>
          <cell r="AK74">
            <v>773.17219999999998</v>
          </cell>
          <cell r="AL74">
            <v>892.47888870999998</v>
          </cell>
          <cell r="AM74">
            <v>772.55899999999997</v>
          </cell>
          <cell r="AN74">
            <v>2049</v>
          </cell>
          <cell r="AO74">
            <v>1528</v>
          </cell>
          <cell r="AP74">
            <v>1169</v>
          </cell>
          <cell r="AQ74">
            <v>1139</v>
          </cell>
          <cell r="AR74">
            <v>1149</v>
          </cell>
          <cell r="AS74">
            <v>1103</v>
          </cell>
          <cell r="AT74">
            <v>819</v>
          </cell>
          <cell r="AU74">
            <v>848</v>
          </cell>
          <cell r="AV74">
            <v>658</v>
          </cell>
          <cell r="AW74">
            <v>549</v>
          </cell>
          <cell r="AX74">
            <v>411</v>
          </cell>
          <cell r="AY74">
            <v>277</v>
          </cell>
          <cell r="AZ74">
            <v>273</v>
          </cell>
          <cell r="BA74">
            <v>103</v>
          </cell>
          <cell r="BB74">
            <v>27</v>
          </cell>
        </row>
        <row r="75">
          <cell r="D75" t="str">
            <v>övriga petroleumprodukter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28</v>
          </cell>
        </row>
        <row r="76">
          <cell r="D76" t="str">
            <v>naturgas</v>
          </cell>
          <cell r="Y76">
            <v>1136.9808</v>
          </cell>
          <cell r="Z76">
            <v>998.8488000000001</v>
          </cell>
          <cell r="AA76">
            <v>1068.3684000000001</v>
          </cell>
          <cell r="AB76">
            <v>981.19512000000009</v>
          </cell>
          <cell r="AC76">
            <v>945.46440000000007</v>
          </cell>
          <cell r="AD76">
            <v>1015.04988</v>
          </cell>
          <cell r="AE76">
            <v>1093.10148</v>
          </cell>
          <cell r="AF76">
            <v>1039.3158664514879</v>
          </cell>
          <cell r="AG76">
            <v>1068.6420720000001</v>
          </cell>
          <cell r="AH76">
            <v>1399.7884752</v>
          </cell>
          <cell r="AI76">
            <v>1177.0920000000001</v>
          </cell>
          <cell r="AJ76">
            <v>1148.8500000000001</v>
          </cell>
          <cell r="AK76">
            <v>1148.4000000000001</v>
          </cell>
          <cell r="AL76">
            <v>1257.8059316249999</v>
          </cell>
          <cell r="AM76">
            <v>1093.7024999999999</v>
          </cell>
          <cell r="AN76">
            <v>4014</v>
          </cell>
          <cell r="AO76">
            <v>4183</v>
          </cell>
          <cell r="AP76">
            <v>3962</v>
          </cell>
          <cell r="AQ76">
            <v>3515</v>
          </cell>
          <cell r="AR76">
            <v>3931</v>
          </cell>
          <cell r="AS76">
            <v>3896</v>
          </cell>
          <cell r="AT76">
            <v>4195</v>
          </cell>
          <cell r="AU76">
            <v>4234</v>
          </cell>
          <cell r="AV76">
            <v>3996</v>
          </cell>
          <cell r="AW76">
            <v>3715</v>
          </cell>
          <cell r="AX76">
            <v>3150</v>
          </cell>
          <cell r="AY76">
            <v>3465</v>
          </cell>
          <cell r="AZ76">
            <v>3122</v>
          </cell>
          <cell r="BA76">
            <v>2960</v>
          </cell>
          <cell r="BB76">
            <v>29</v>
          </cell>
        </row>
        <row r="77">
          <cell r="D77" t="str">
            <v>stadsgas</v>
          </cell>
          <cell r="Y77">
            <v>25.558087999999998</v>
          </cell>
          <cell r="Z77">
            <v>111.41540000000001</v>
          </cell>
          <cell r="AA77">
            <v>114.713668</v>
          </cell>
          <cell r="AB77">
            <v>99.124815999999996</v>
          </cell>
          <cell r="AC77">
            <v>79.60706435767213</v>
          </cell>
          <cell r="AD77">
            <v>23.692636</v>
          </cell>
          <cell r="AE77">
            <v>16.11918</v>
          </cell>
          <cell r="AF77">
            <v>9.5705804829500689</v>
          </cell>
          <cell r="AG77">
            <v>3.3526964000000001</v>
          </cell>
          <cell r="AH77">
            <v>6.0569040000000003</v>
          </cell>
          <cell r="AI77">
            <v>8.3735999999999997</v>
          </cell>
          <cell r="AJ77">
            <v>0</v>
          </cell>
          <cell r="AK77">
            <v>9.3040000000000003</v>
          </cell>
          <cell r="AL77">
            <v>17.35465816</v>
          </cell>
          <cell r="AM77">
            <v>13.956</v>
          </cell>
          <cell r="AN77">
            <v>40</v>
          </cell>
          <cell r="AO77">
            <v>71</v>
          </cell>
          <cell r="AP77">
            <v>68</v>
          </cell>
          <cell r="AQ77">
            <v>14</v>
          </cell>
          <cell r="AR77">
            <v>13</v>
          </cell>
          <cell r="AS77">
            <v>2</v>
          </cell>
          <cell r="AT77">
            <v>1</v>
          </cell>
          <cell r="AU77">
            <v>0</v>
          </cell>
          <cell r="AV77">
            <v>0</v>
          </cell>
          <cell r="AW77">
            <v>1</v>
          </cell>
          <cell r="AX77">
            <v>0</v>
          </cell>
          <cell r="AY77">
            <v>0</v>
          </cell>
          <cell r="AZ77">
            <v>8</v>
          </cell>
          <cell r="BA77">
            <v>0</v>
          </cell>
          <cell r="BB77">
            <v>30</v>
          </cell>
        </row>
        <row r="78">
          <cell r="D78" t="str">
            <v>masugnsgas m.m.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31</v>
          </cell>
        </row>
        <row r="79">
          <cell r="D79" t="str">
            <v>övriga bränslen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34.273610000000005</v>
          </cell>
          <cell r="AH79">
            <v>26.350090999999999</v>
          </cell>
          <cell r="AI79">
            <v>5.8150000000000004</v>
          </cell>
          <cell r="AJ79">
            <v>3.9530370000000001</v>
          </cell>
          <cell r="AK79">
            <v>0.43112410000000001</v>
          </cell>
          <cell r="AL79">
            <v>5.2981628000000009</v>
          </cell>
          <cell r="AM79">
            <v>4.4310300000000007</v>
          </cell>
          <cell r="AN79">
            <v>66</v>
          </cell>
          <cell r="AO79">
            <v>71</v>
          </cell>
          <cell r="AP79">
            <v>74</v>
          </cell>
          <cell r="AQ79">
            <v>1</v>
          </cell>
          <cell r="AR79">
            <v>0</v>
          </cell>
          <cell r="AS79">
            <v>35</v>
          </cell>
          <cell r="AT79">
            <v>1</v>
          </cell>
          <cell r="AU79">
            <v>6</v>
          </cell>
          <cell r="AV79">
            <v>1</v>
          </cell>
          <cell r="AW79">
            <v>0</v>
          </cell>
          <cell r="AX79">
            <v>0</v>
          </cell>
          <cell r="AY79">
            <v>1</v>
          </cell>
          <cell r="AZ79">
            <v>2</v>
          </cell>
          <cell r="BA79">
            <v>13</v>
          </cell>
          <cell r="BB79">
            <v>32</v>
          </cell>
        </row>
        <row r="80">
          <cell r="D80" t="str">
            <v>fjärrvärme</v>
          </cell>
          <cell r="Y80">
            <v>409.91199999999998</v>
          </cell>
          <cell r="Z80">
            <v>247.83</v>
          </cell>
          <cell r="AA80">
            <v>284.8</v>
          </cell>
          <cell r="AB80">
            <v>339.39103693375444</v>
          </cell>
          <cell r="AC80">
            <v>331.29568059192684</v>
          </cell>
          <cell r="AD80">
            <v>290.65730504468814</v>
          </cell>
          <cell r="AE80">
            <v>298.98386185626822</v>
          </cell>
          <cell r="AF80">
            <v>282.73636300926688</v>
          </cell>
          <cell r="AG80">
            <v>179.14620000000002</v>
          </cell>
          <cell r="AH80">
            <v>201.97816068376068</v>
          </cell>
          <cell r="AI80">
            <v>303.40702004741155</v>
          </cell>
          <cell r="AJ80">
            <v>311.32806923215799</v>
          </cell>
          <cell r="AK80">
            <v>316.68380232663435</v>
          </cell>
          <cell r="AL80">
            <v>147</v>
          </cell>
          <cell r="AM80">
            <v>150</v>
          </cell>
          <cell r="AN80">
            <v>1651</v>
          </cell>
          <cell r="AO80">
            <v>1474</v>
          </cell>
          <cell r="AP80">
            <v>1512</v>
          </cell>
          <cell r="AQ80">
            <v>995</v>
          </cell>
          <cell r="AR80">
            <v>1301</v>
          </cell>
          <cell r="AS80">
            <v>1100</v>
          </cell>
          <cell r="AT80">
            <v>1550</v>
          </cell>
          <cell r="AU80">
            <v>1479</v>
          </cell>
          <cell r="AV80">
            <v>1613</v>
          </cell>
          <cell r="AW80">
            <v>1697</v>
          </cell>
          <cell r="AX80">
            <v>1680</v>
          </cell>
          <cell r="AY80">
            <v>1625</v>
          </cell>
          <cell r="AZ80">
            <v>1303</v>
          </cell>
          <cell r="BA80">
            <v>1259</v>
          </cell>
          <cell r="BB80">
            <v>33</v>
          </cell>
        </row>
        <row r="81">
          <cell r="D81" t="str">
            <v>el</v>
          </cell>
          <cell r="Y81">
            <v>2599.5</v>
          </cell>
          <cell r="Z81">
            <v>2610.4</v>
          </cell>
          <cell r="AA81">
            <v>2464.5889999999999</v>
          </cell>
          <cell r="AB81">
            <v>2445.5949999999998</v>
          </cell>
          <cell r="AC81">
            <v>2475.2939999999999</v>
          </cell>
          <cell r="AD81">
            <v>2569.0059999999999</v>
          </cell>
          <cell r="AE81">
            <v>2582.9960000000001</v>
          </cell>
          <cell r="AF81">
            <v>2343.5186266077294</v>
          </cell>
          <cell r="AG81">
            <v>2275.4099281870563</v>
          </cell>
          <cell r="AH81">
            <v>2571.6972677753442</v>
          </cell>
          <cell r="AI81">
            <v>2989</v>
          </cell>
          <cell r="AJ81">
            <v>2908</v>
          </cell>
          <cell r="AK81">
            <v>2707</v>
          </cell>
          <cell r="AL81">
            <v>2470</v>
          </cell>
          <cell r="AM81">
            <v>2433</v>
          </cell>
          <cell r="AN81">
            <v>8773</v>
          </cell>
          <cell r="AO81">
            <v>8780</v>
          </cell>
          <cell r="AP81">
            <v>9312</v>
          </cell>
          <cell r="AQ81">
            <v>8998</v>
          </cell>
          <cell r="AR81">
            <v>8583</v>
          </cell>
          <cell r="AS81">
            <v>8840</v>
          </cell>
          <cell r="AT81">
            <v>8982</v>
          </cell>
          <cell r="AU81">
            <v>8857</v>
          </cell>
          <cell r="AV81">
            <v>8640</v>
          </cell>
          <cell r="AW81">
            <v>8900</v>
          </cell>
          <cell r="AX81">
            <v>8696</v>
          </cell>
          <cell r="AY81">
            <v>8671</v>
          </cell>
          <cell r="AZ81">
            <v>8630</v>
          </cell>
          <cell r="BA81">
            <v>8542</v>
          </cell>
          <cell r="BB81">
            <v>34</v>
          </cell>
        </row>
        <row r="82">
          <cell r="D82" t="str">
            <v>totalt</v>
          </cell>
          <cell r="Y82">
            <v>6813.8827657000002</v>
          </cell>
          <cell r="Z82">
            <v>6239.6436309999999</v>
          </cell>
          <cell r="AA82">
            <v>6100.3628461999997</v>
          </cell>
          <cell r="AB82">
            <v>6258.2121847164235</v>
          </cell>
          <cell r="AC82">
            <v>6226.1614240321605</v>
          </cell>
          <cell r="AD82">
            <v>6416.6419111293944</v>
          </cell>
          <cell r="AE82">
            <v>6730.9287696990732</v>
          </cell>
          <cell r="AF82">
            <v>6205.7265486386113</v>
          </cell>
          <cell r="AG82">
            <v>5833.8808215117087</v>
          </cell>
          <cell r="AH82">
            <v>6873.349270882678</v>
          </cell>
          <cell r="AI82">
            <v>6559.2704600474117</v>
          </cell>
          <cell r="AJ82">
            <v>6010.3647066121575</v>
          </cell>
          <cell r="AK82">
            <v>5895.837926426635</v>
          </cell>
          <cell r="AL82">
            <v>5804.2506858530005</v>
          </cell>
          <cell r="AM82">
            <v>5275.7371653999999</v>
          </cell>
          <cell r="AN82">
            <v>19331</v>
          </cell>
          <cell r="AO82">
            <v>19420</v>
          </cell>
          <cell r="AP82">
            <v>19555</v>
          </cell>
          <cell r="AQ82">
            <v>18734</v>
          </cell>
          <cell r="AR82">
            <v>18763</v>
          </cell>
          <cell r="AS82">
            <v>18834</v>
          </cell>
          <cell r="AT82">
            <v>19001</v>
          </cell>
          <cell r="AU82">
            <v>18741</v>
          </cell>
          <cell r="AV82">
            <v>18312</v>
          </cell>
          <cell r="AW82">
            <v>18687</v>
          </cell>
          <cell r="AX82">
            <v>17224</v>
          </cell>
          <cell r="AY82">
            <v>17662</v>
          </cell>
          <cell r="AZ82">
            <v>17354</v>
          </cell>
          <cell r="BA82">
            <v>16590</v>
          </cell>
          <cell r="BB82">
            <v>35</v>
          </cell>
        </row>
        <row r="84">
          <cell r="D84" t="str">
            <v>biobränsle</v>
          </cell>
          <cell r="Y84">
            <v>0</v>
          </cell>
          <cell r="Z84">
            <v>11.63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14.398330132834289</v>
          </cell>
          <cell r="AF84">
            <v>0</v>
          </cell>
          <cell r="AG84">
            <v>2.625</v>
          </cell>
          <cell r="AH84">
            <v>0.09</v>
          </cell>
          <cell r="AI84">
            <v>3.4890000000000003</v>
          </cell>
          <cell r="AJ84">
            <v>1.8428898</v>
          </cell>
          <cell r="AK84">
            <v>11.63</v>
          </cell>
          <cell r="AL84">
            <v>0.2262035</v>
          </cell>
          <cell r="AM84">
            <v>9.3040000000000012E-2</v>
          </cell>
          <cell r="AN84">
            <v>2</v>
          </cell>
          <cell r="AO84">
            <v>1</v>
          </cell>
          <cell r="AP84">
            <v>0</v>
          </cell>
          <cell r="AQ84">
            <v>2</v>
          </cell>
          <cell r="AR84">
            <v>1</v>
          </cell>
          <cell r="AS84">
            <v>1</v>
          </cell>
          <cell r="AT84">
            <v>1</v>
          </cell>
          <cell r="AU84">
            <v>1</v>
          </cell>
          <cell r="AV84">
            <v>21</v>
          </cell>
          <cell r="AW84">
            <v>41</v>
          </cell>
          <cell r="AX84">
            <v>84</v>
          </cell>
          <cell r="AY84">
            <v>57</v>
          </cell>
          <cell r="AZ84">
            <v>85</v>
          </cell>
          <cell r="BA84">
            <v>28</v>
          </cell>
          <cell r="BB84">
            <v>37</v>
          </cell>
        </row>
        <row r="85">
          <cell r="D85" t="str">
            <v>kol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38</v>
          </cell>
        </row>
        <row r="86">
          <cell r="D86" t="str">
            <v>koks</v>
          </cell>
          <cell r="Y86">
            <v>0</v>
          </cell>
          <cell r="Z86">
            <v>3.8960500000000002E-2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39</v>
          </cell>
        </row>
        <row r="87">
          <cell r="D87" t="str">
            <v>gasol</v>
          </cell>
          <cell r="Y87">
            <v>233.15424750000003</v>
          </cell>
          <cell r="Z87">
            <v>194.60711599999999</v>
          </cell>
          <cell r="AA87">
            <v>128.37775500000001</v>
          </cell>
          <cell r="AB87">
            <v>182.543317</v>
          </cell>
          <cell r="AC87">
            <v>104.787463</v>
          </cell>
          <cell r="AD87">
            <v>78.961995636236679</v>
          </cell>
          <cell r="AE87">
            <v>132.97044199999999</v>
          </cell>
          <cell r="AF87">
            <v>131.95339849999999</v>
          </cell>
          <cell r="AG87">
            <v>112.3046298</v>
          </cell>
          <cell r="AH87">
            <v>125.86466152857142</v>
          </cell>
          <cell r="AI87">
            <v>139.44370000000001</v>
          </cell>
          <cell r="AJ87">
            <v>140.72299999999998</v>
          </cell>
          <cell r="AK87">
            <v>127.93100000000001</v>
          </cell>
          <cell r="AL87">
            <v>107.937559527</v>
          </cell>
          <cell r="AM87">
            <v>64.784258399999999</v>
          </cell>
          <cell r="AN87">
            <v>215</v>
          </cell>
          <cell r="AO87">
            <v>141</v>
          </cell>
          <cell r="AP87">
            <v>130</v>
          </cell>
          <cell r="AQ87">
            <v>96</v>
          </cell>
          <cell r="AR87">
            <v>86</v>
          </cell>
          <cell r="AS87">
            <v>86</v>
          </cell>
          <cell r="AT87">
            <v>87</v>
          </cell>
          <cell r="AU87">
            <v>95</v>
          </cell>
          <cell r="AV87">
            <v>92</v>
          </cell>
          <cell r="AW87">
            <v>106</v>
          </cell>
          <cell r="AX87">
            <v>97</v>
          </cell>
          <cell r="AY87">
            <v>79</v>
          </cell>
          <cell r="AZ87">
            <v>83</v>
          </cell>
          <cell r="BA87">
            <v>76</v>
          </cell>
          <cell r="BB87">
            <v>40</v>
          </cell>
        </row>
        <row r="88">
          <cell r="D88" t="str">
            <v>bensin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1</v>
          </cell>
          <cell r="AQ88">
            <v>1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41</v>
          </cell>
        </row>
        <row r="89">
          <cell r="D89" t="str">
            <v>lättoljor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42</v>
          </cell>
        </row>
        <row r="90">
          <cell r="D90" t="str">
            <v>diesel</v>
          </cell>
          <cell r="Y90">
            <v>1.7003059999999999</v>
          </cell>
          <cell r="Z90">
            <v>1.2159165000000001</v>
          </cell>
          <cell r="AA90">
            <v>9.8855000000000002E-3</v>
          </cell>
          <cell r="AB90">
            <v>2.9656500000000002E-2</v>
          </cell>
          <cell r="AC90">
            <v>0</v>
          </cell>
          <cell r="AD90">
            <v>0</v>
          </cell>
          <cell r="AE90">
            <v>0</v>
          </cell>
          <cell r="AF90">
            <v>0.44377183565921741</v>
          </cell>
          <cell r="AG90">
            <v>0.23016679083831107</v>
          </cell>
          <cell r="AH90">
            <v>0.66962084543404987</v>
          </cell>
          <cell r="AI90">
            <v>0.98855000000000004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1</v>
          </cell>
          <cell r="AQ90">
            <v>4</v>
          </cell>
          <cell r="AR90">
            <v>1</v>
          </cell>
          <cell r="AS90">
            <v>1</v>
          </cell>
          <cell r="AT90">
            <v>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6</v>
          </cell>
          <cell r="AZ90">
            <v>9</v>
          </cell>
          <cell r="BA90">
            <v>6</v>
          </cell>
          <cell r="BB90">
            <v>43</v>
          </cell>
        </row>
        <row r="91">
          <cell r="D91" t="str">
            <v>eo1</v>
          </cell>
          <cell r="Y91">
            <v>83.562131499999992</v>
          </cell>
          <cell r="Z91">
            <v>61.013306</v>
          </cell>
          <cell r="AA91">
            <v>52.333836999999995</v>
          </cell>
          <cell r="AB91">
            <v>82.316558499999999</v>
          </cell>
          <cell r="AC91">
            <v>160.16487100000003</v>
          </cell>
          <cell r="AD91">
            <v>67.251056500000004</v>
          </cell>
          <cell r="AE91">
            <v>98.074045499999997</v>
          </cell>
          <cell r="AF91">
            <v>83.631330000000005</v>
          </cell>
          <cell r="AG91">
            <v>43.084963199999997</v>
          </cell>
          <cell r="AH91">
            <v>58.704928344913419</v>
          </cell>
          <cell r="AI91">
            <v>52.393149999999999</v>
          </cell>
          <cell r="AJ91">
            <v>59.779800000000002</v>
          </cell>
          <cell r="AK91">
            <v>39.853200000000001</v>
          </cell>
          <cell r="AL91">
            <v>54.678889299000005</v>
          </cell>
          <cell r="AM91">
            <v>39.853200000000001</v>
          </cell>
          <cell r="AN91">
            <v>84</v>
          </cell>
          <cell r="AO91">
            <v>76</v>
          </cell>
          <cell r="AP91">
            <v>60</v>
          </cell>
          <cell r="AQ91">
            <v>73</v>
          </cell>
          <cell r="AR91">
            <v>66</v>
          </cell>
          <cell r="AS91">
            <v>96</v>
          </cell>
          <cell r="AT91">
            <v>76</v>
          </cell>
          <cell r="AU91">
            <v>76</v>
          </cell>
          <cell r="AV91">
            <v>95</v>
          </cell>
          <cell r="AW91">
            <v>74</v>
          </cell>
          <cell r="AX91">
            <v>58</v>
          </cell>
          <cell r="AY91">
            <v>66</v>
          </cell>
          <cell r="AZ91">
            <v>40</v>
          </cell>
          <cell r="BA91">
            <v>27</v>
          </cell>
          <cell r="BB91">
            <v>44</v>
          </cell>
        </row>
        <row r="92">
          <cell r="D92" t="str">
            <v>eo2-6</v>
          </cell>
          <cell r="Y92">
            <v>262.99942439999995</v>
          </cell>
          <cell r="Z92">
            <v>176.61283109999999</v>
          </cell>
          <cell r="AA92">
            <v>150.35182589999999</v>
          </cell>
          <cell r="AB92">
            <v>102.0751799316939</v>
          </cell>
          <cell r="AC92">
            <v>111.59845619999999</v>
          </cell>
          <cell r="AD92">
            <v>196.13553059999998</v>
          </cell>
          <cell r="AE92">
            <v>175.50960929999999</v>
          </cell>
          <cell r="AF92">
            <v>155.14326959999997</v>
          </cell>
          <cell r="AG92">
            <v>191.01744671999998</v>
          </cell>
          <cell r="AH92">
            <v>155.89310644909091</v>
          </cell>
          <cell r="AI92">
            <v>150.34100999999998</v>
          </cell>
          <cell r="AJ92">
            <v>127.0968</v>
          </cell>
          <cell r="AK92">
            <v>127.0968</v>
          </cell>
          <cell r="AL92">
            <v>145.61393108999999</v>
          </cell>
          <cell r="AM92">
            <v>137.57900000000001</v>
          </cell>
          <cell r="AN92">
            <v>278</v>
          </cell>
          <cell r="AO92">
            <v>244</v>
          </cell>
          <cell r="AP92">
            <v>227</v>
          </cell>
          <cell r="AQ92">
            <v>168</v>
          </cell>
          <cell r="AR92">
            <v>139</v>
          </cell>
          <cell r="AS92">
            <v>121</v>
          </cell>
          <cell r="AT92">
            <v>104</v>
          </cell>
          <cell r="AU92">
            <v>109</v>
          </cell>
          <cell r="AV92">
            <v>73</v>
          </cell>
          <cell r="AW92">
            <v>35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45</v>
          </cell>
        </row>
        <row r="93">
          <cell r="D93" t="str">
            <v>övriga petroleumprodukter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46</v>
          </cell>
        </row>
        <row r="94">
          <cell r="D94" t="str">
            <v>naturgas</v>
          </cell>
          <cell r="Y94">
            <v>48.805200000000006</v>
          </cell>
          <cell r="Z94">
            <v>35.0244</v>
          </cell>
          <cell r="AA94">
            <v>40.186800000000005</v>
          </cell>
          <cell r="AB94">
            <v>38.442600000000006</v>
          </cell>
          <cell r="AC94">
            <v>31.035960000000003</v>
          </cell>
          <cell r="AD94">
            <v>18.759599999999999</v>
          </cell>
          <cell r="AE94">
            <v>21.79224</v>
          </cell>
          <cell r="AF94">
            <v>32.8536</v>
          </cell>
          <cell r="AG94">
            <v>20.813436000000003</v>
          </cell>
          <cell r="AH94">
            <v>38.784744000000003</v>
          </cell>
          <cell r="AI94">
            <v>30.132000000000001</v>
          </cell>
          <cell r="AJ94">
            <v>29.97</v>
          </cell>
          <cell r="AK94">
            <v>19.8</v>
          </cell>
          <cell r="AL94">
            <v>56.12461425</v>
          </cell>
          <cell r="AM94">
            <v>55.237499999999997</v>
          </cell>
          <cell r="AN94">
            <v>178</v>
          </cell>
          <cell r="AO94">
            <v>135</v>
          </cell>
          <cell r="AP94">
            <v>207</v>
          </cell>
          <cell r="AQ94">
            <v>211</v>
          </cell>
          <cell r="AR94">
            <v>196</v>
          </cell>
          <cell r="AS94">
            <v>201</v>
          </cell>
          <cell r="AT94">
            <v>170</v>
          </cell>
          <cell r="AU94">
            <v>118</v>
          </cell>
          <cell r="AV94">
            <v>108</v>
          </cell>
          <cell r="AW94">
            <v>107</v>
          </cell>
          <cell r="AX94">
            <v>103</v>
          </cell>
          <cell r="AY94">
            <v>94</v>
          </cell>
          <cell r="AZ94">
            <v>82</v>
          </cell>
          <cell r="BA94">
            <v>32</v>
          </cell>
          <cell r="BB94">
            <v>47</v>
          </cell>
        </row>
        <row r="95">
          <cell r="D95" t="str">
            <v>stadsgas</v>
          </cell>
          <cell r="Y95">
            <v>0</v>
          </cell>
          <cell r="Z95">
            <v>4.6520000000000001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1.6184895500497616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48</v>
          </cell>
        </row>
        <row r="96">
          <cell r="D96" t="str">
            <v>masugnsgas m.m.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49</v>
          </cell>
        </row>
        <row r="97">
          <cell r="D97" t="str">
            <v>övriga bränslen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1.8608000000000002</v>
          </cell>
          <cell r="AH97">
            <v>2.323674</v>
          </cell>
          <cell r="AI97">
            <v>0</v>
          </cell>
          <cell r="AJ97">
            <v>0.3428524</v>
          </cell>
          <cell r="AK97">
            <v>0</v>
          </cell>
          <cell r="AL97">
            <v>0</v>
          </cell>
          <cell r="AM97">
            <v>0.53498000000000001</v>
          </cell>
          <cell r="AN97">
            <v>0</v>
          </cell>
          <cell r="AO97">
            <v>0</v>
          </cell>
          <cell r="AP97">
            <v>0</v>
          </cell>
          <cell r="AQ97">
            <v>1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2</v>
          </cell>
          <cell r="BA97">
            <v>0</v>
          </cell>
          <cell r="BB97">
            <v>50</v>
          </cell>
        </row>
        <row r="98">
          <cell r="D98" t="str">
            <v>fjärrvärme</v>
          </cell>
          <cell r="Y98">
            <v>54.918999999999997</v>
          </cell>
          <cell r="Z98">
            <v>51.104999999999997</v>
          </cell>
          <cell r="AA98">
            <v>40.015000000000001</v>
          </cell>
          <cell r="AB98">
            <v>49.95070801632977</v>
          </cell>
          <cell r="AC98">
            <v>50.847111494640792</v>
          </cell>
          <cell r="AD98">
            <v>48.597279862728477</v>
          </cell>
          <cell r="AE98">
            <v>57.85031375482847</v>
          </cell>
          <cell r="AF98">
            <v>62.409890892353715</v>
          </cell>
          <cell r="AG98">
            <v>43.399300000000004</v>
          </cell>
          <cell r="AH98">
            <v>49.33267272727273</v>
          </cell>
          <cell r="AI98">
            <v>36.722985213395965</v>
          </cell>
          <cell r="AJ98">
            <v>43.356869650900592</v>
          </cell>
          <cell r="AK98">
            <v>44.102731796369618</v>
          </cell>
          <cell r="AL98">
            <v>40</v>
          </cell>
          <cell r="AM98">
            <v>38</v>
          </cell>
          <cell r="AN98">
            <v>135</v>
          </cell>
          <cell r="AO98">
            <v>160</v>
          </cell>
          <cell r="AP98">
            <v>147</v>
          </cell>
          <cell r="AQ98">
            <v>73</v>
          </cell>
          <cell r="AR98">
            <v>76</v>
          </cell>
          <cell r="AS98">
            <v>81</v>
          </cell>
          <cell r="AT98">
            <v>66</v>
          </cell>
          <cell r="AU98">
            <v>79</v>
          </cell>
          <cell r="AV98">
            <v>56</v>
          </cell>
          <cell r="AW98">
            <v>41</v>
          </cell>
          <cell r="AX98">
            <v>41</v>
          </cell>
          <cell r="AY98">
            <v>40</v>
          </cell>
          <cell r="AZ98">
            <v>43</v>
          </cell>
          <cell r="BA98">
            <v>49</v>
          </cell>
          <cell r="BB98">
            <v>51</v>
          </cell>
        </row>
        <row r="99">
          <cell r="D99" t="str">
            <v>el</v>
          </cell>
          <cell r="Y99">
            <v>485.04899999999998</v>
          </cell>
          <cell r="Z99">
            <v>470.19299999999998</v>
          </cell>
          <cell r="AA99">
            <v>371.25200000000001</v>
          </cell>
          <cell r="AB99">
            <v>371.25200000000001</v>
          </cell>
          <cell r="AC99">
            <v>289.35500000000002</v>
          </cell>
          <cell r="AD99">
            <v>291.48599999999999</v>
          </cell>
          <cell r="AE99">
            <v>300.84100000000001</v>
          </cell>
          <cell r="AF99">
            <v>387.13891028421136</v>
          </cell>
          <cell r="AG99">
            <v>340.65961997383118</v>
          </cell>
          <cell r="AH99">
            <v>370.70356147215404</v>
          </cell>
          <cell r="AI99">
            <v>382</v>
          </cell>
          <cell r="AJ99">
            <v>423</v>
          </cell>
          <cell r="AK99">
            <v>368</v>
          </cell>
          <cell r="AL99">
            <v>323</v>
          </cell>
          <cell r="AM99">
            <v>255</v>
          </cell>
          <cell r="AN99">
            <v>870</v>
          </cell>
          <cell r="AO99">
            <v>742</v>
          </cell>
          <cell r="AP99">
            <v>721</v>
          </cell>
          <cell r="AQ99">
            <v>715</v>
          </cell>
          <cell r="AR99">
            <v>618</v>
          </cell>
          <cell r="AS99">
            <v>591</v>
          </cell>
          <cell r="AT99">
            <v>558</v>
          </cell>
          <cell r="AU99">
            <v>523</v>
          </cell>
          <cell r="AV99">
            <v>505</v>
          </cell>
          <cell r="AW99">
            <v>684</v>
          </cell>
          <cell r="AX99">
            <v>711</v>
          </cell>
          <cell r="AY99">
            <v>735</v>
          </cell>
          <cell r="AZ99">
            <v>733</v>
          </cell>
          <cell r="BA99">
            <v>720</v>
          </cell>
          <cell r="BB99">
            <v>52</v>
          </cell>
        </row>
        <row r="100">
          <cell r="D100" t="str">
            <v>totalt</v>
          </cell>
          <cell r="Y100">
            <v>1170.1893094</v>
          </cell>
          <cell r="Z100">
            <v>1006.0925301</v>
          </cell>
          <cell r="AA100">
            <v>782.52710339999999</v>
          </cell>
          <cell r="AB100">
            <v>826.61001994802359</v>
          </cell>
          <cell r="AC100">
            <v>747.7888616946409</v>
          </cell>
          <cell r="AD100">
            <v>701.19146259896513</v>
          </cell>
          <cell r="AE100">
            <v>801.43598068766278</v>
          </cell>
          <cell r="AF100">
            <v>855.19266066227408</v>
          </cell>
          <cell r="AG100">
            <v>755.9953624846695</v>
          </cell>
          <cell r="AH100">
            <v>802.36696936743647</v>
          </cell>
          <cell r="AI100">
            <v>795.5103952133959</v>
          </cell>
          <cell r="AJ100">
            <v>826.11221185090062</v>
          </cell>
          <cell r="AK100">
            <v>738.41373179636958</v>
          </cell>
          <cell r="AL100">
            <v>727.58119766599998</v>
          </cell>
          <cell r="AM100">
            <v>591.08197840000003</v>
          </cell>
          <cell r="AN100">
            <v>1762</v>
          </cell>
          <cell r="AO100">
            <v>1499</v>
          </cell>
          <cell r="AP100">
            <v>1494</v>
          </cell>
          <cell r="AQ100">
            <v>1344</v>
          </cell>
          <cell r="AR100">
            <v>1183</v>
          </cell>
          <cell r="AS100">
            <v>1178</v>
          </cell>
          <cell r="AT100">
            <v>1063</v>
          </cell>
          <cell r="AU100">
            <v>1001</v>
          </cell>
          <cell r="AV100">
            <v>950</v>
          </cell>
          <cell r="AW100">
            <v>1088</v>
          </cell>
          <cell r="AX100">
            <v>1095</v>
          </cell>
          <cell r="AY100">
            <v>1077</v>
          </cell>
          <cell r="AZ100">
            <v>1077</v>
          </cell>
          <cell r="BA100">
            <v>938</v>
          </cell>
          <cell r="BB100">
            <v>53</v>
          </cell>
        </row>
        <row r="102">
          <cell r="D102" t="str">
            <v>biobränsle</v>
          </cell>
          <cell r="Y102">
            <v>6408.13</v>
          </cell>
          <cell r="Z102">
            <v>7012.89</v>
          </cell>
          <cell r="AA102">
            <v>7059.4100000000008</v>
          </cell>
          <cell r="AB102">
            <v>7152.4500000000007</v>
          </cell>
          <cell r="AC102">
            <v>8036.3300000000008</v>
          </cell>
          <cell r="AD102">
            <v>8408.49</v>
          </cell>
          <cell r="AE102">
            <v>7718.20298</v>
          </cell>
          <cell r="AF102">
            <v>7540.4412516571883</v>
          </cell>
          <cell r="AG102">
            <v>5719.3667000000005</v>
          </cell>
          <cell r="AH102">
            <v>5417.8467516168803</v>
          </cell>
          <cell r="AI102">
            <v>5405.6240000000007</v>
          </cell>
          <cell r="AJ102">
            <v>5263.0251973000004</v>
          </cell>
          <cell r="AK102">
            <v>5268.39</v>
          </cell>
          <cell r="AL102">
            <v>5311.3258666000002</v>
          </cell>
          <cell r="AM102">
            <v>4185.7765600000002</v>
          </cell>
          <cell r="AN102">
            <v>18828</v>
          </cell>
          <cell r="AO102">
            <v>18778</v>
          </cell>
          <cell r="AP102">
            <v>17299</v>
          </cell>
          <cell r="AQ102">
            <v>17696</v>
          </cell>
          <cell r="AR102">
            <v>16186</v>
          </cell>
          <cell r="AS102">
            <v>16904</v>
          </cell>
          <cell r="AT102">
            <v>15377</v>
          </cell>
          <cell r="AU102">
            <v>16534</v>
          </cell>
          <cell r="AV102">
            <v>15580</v>
          </cell>
          <cell r="AW102">
            <v>16415</v>
          </cell>
          <cell r="AX102">
            <v>16408</v>
          </cell>
          <cell r="AY102">
            <v>16126</v>
          </cell>
          <cell r="AZ102">
            <v>17476</v>
          </cell>
          <cell r="BA102">
            <v>15587</v>
          </cell>
          <cell r="BB102">
            <v>55</v>
          </cell>
        </row>
        <row r="103">
          <cell r="D103" t="str">
            <v>kol</v>
          </cell>
          <cell r="Y103">
            <v>1.7538040000000001</v>
          </cell>
          <cell r="Z103">
            <v>3.1523114999999997</v>
          </cell>
          <cell r="AA103">
            <v>9.37378</v>
          </cell>
          <cell r="AB103">
            <v>19.684937999999999</v>
          </cell>
          <cell r="AC103">
            <v>8.0055104999999998</v>
          </cell>
          <cell r="AD103">
            <v>2.2602905</v>
          </cell>
          <cell r="AE103">
            <v>0.79117830353574947</v>
          </cell>
          <cell r="AF103">
            <v>0</v>
          </cell>
          <cell r="AG103">
            <v>0</v>
          </cell>
          <cell r="AH103">
            <v>0</v>
          </cell>
          <cell r="AI103">
            <v>28.726099999999999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56</v>
          </cell>
        </row>
        <row r="104">
          <cell r="D104" t="str">
            <v>koks</v>
          </cell>
          <cell r="Y104">
            <v>0</v>
          </cell>
          <cell r="Z104">
            <v>0</v>
          </cell>
          <cell r="AA104">
            <v>0.15584200000000001</v>
          </cell>
          <cell r="AB104">
            <v>0.11688149999999999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57</v>
          </cell>
        </row>
        <row r="105">
          <cell r="D105" t="str">
            <v>gasol</v>
          </cell>
          <cell r="Y105">
            <v>3.5692749000000004</v>
          </cell>
          <cell r="Z105">
            <v>3.9018649999999995</v>
          </cell>
          <cell r="AA105">
            <v>4.8997190000000002</v>
          </cell>
          <cell r="AB105">
            <v>14.878259</v>
          </cell>
          <cell r="AC105">
            <v>33.837485000000001</v>
          </cell>
          <cell r="AD105">
            <v>37.772733723162858</v>
          </cell>
          <cell r="AE105">
            <v>60.792335999999992</v>
          </cell>
          <cell r="AF105">
            <v>54.377542838608839</v>
          </cell>
          <cell r="AG105">
            <v>17.8219283</v>
          </cell>
          <cell r="AH105">
            <v>10.374779063015646</v>
          </cell>
          <cell r="AI105">
            <v>6.3964999999999996</v>
          </cell>
          <cell r="AJ105">
            <v>12.792999999999999</v>
          </cell>
          <cell r="AK105">
            <v>0</v>
          </cell>
          <cell r="AL105">
            <v>1.31896861</v>
          </cell>
          <cell r="AM105">
            <v>3.6716196999999999</v>
          </cell>
          <cell r="AN105">
            <v>23</v>
          </cell>
          <cell r="AO105">
            <v>23</v>
          </cell>
          <cell r="AP105">
            <v>22</v>
          </cell>
          <cell r="AQ105">
            <v>14</v>
          </cell>
          <cell r="AR105">
            <v>5</v>
          </cell>
          <cell r="AS105">
            <v>5</v>
          </cell>
          <cell r="AT105">
            <v>4</v>
          </cell>
          <cell r="AU105">
            <v>4</v>
          </cell>
          <cell r="AV105">
            <v>4</v>
          </cell>
          <cell r="AW105">
            <v>4</v>
          </cell>
          <cell r="AX105">
            <v>6</v>
          </cell>
          <cell r="AY105">
            <v>7</v>
          </cell>
          <cell r="AZ105">
            <v>6</v>
          </cell>
          <cell r="BA105">
            <v>6</v>
          </cell>
          <cell r="BB105">
            <v>58</v>
          </cell>
        </row>
        <row r="106">
          <cell r="D106" t="str">
            <v>bensin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2</v>
          </cell>
          <cell r="AO106">
            <v>1</v>
          </cell>
          <cell r="AP106">
            <v>1</v>
          </cell>
          <cell r="AQ106">
            <v>5</v>
          </cell>
          <cell r="AR106">
            <v>1</v>
          </cell>
          <cell r="AS106">
            <v>0</v>
          </cell>
          <cell r="AT106">
            <v>0</v>
          </cell>
          <cell r="AU106">
            <v>0</v>
          </cell>
          <cell r="AV106">
            <v>1</v>
          </cell>
          <cell r="AW106">
            <v>0</v>
          </cell>
          <cell r="AX106">
            <v>0</v>
          </cell>
          <cell r="AY106">
            <v>1</v>
          </cell>
          <cell r="AZ106">
            <v>1</v>
          </cell>
          <cell r="BA106">
            <v>0</v>
          </cell>
          <cell r="BB106">
            <v>59</v>
          </cell>
        </row>
        <row r="107">
          <cell r="D107" t="str">
            <v>lättoljor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60</v>
          </cell>
        </row>
        <row r="108">
          <cell r="D108" t="str">
            <v>diesel</v>
          </cell>
          <cell r="Y108">
            <v>14.23512</v>
          </cell>
          <cell r="Z108">
            <v>4.7450400000000004</v>
          </cell>
          <cell r="AA108">
            <v>5.9214145</v>
          </cell>
          <cell r="AB108">
            <v>7.5722930000000002</v>
          </cell>
          <cell r="AC108">
            <v>10.913592000000001</v>
          </cell>
          <cell r="AD108">
            <v>8.1950795000000003</v>
          </cell>
          <cell r="AE108">
            <v>13.4541655</v>
          </cell>
          <cell r="AF108">
            <v>1.4856709280765101</v>
          </cell>
          <cell r="AG108">
            <v>26.879602396792823</v>
          </cell>
          <cell r="AH108">
            <v>29.076849551343326</v>
          </cell>
          <cell r="AI108">
            <v>42.507649999999998</v>
          </cell>
          <cell r="AJ108">
            <v>9.9633000000000003</v>
          </cell>
          <cell r="AK108">
            <v>9.9633000000000003</v>
          </cell>
          <cell r="AL108">
            <v>5.6820699900000005</v>
          </cell>
          <cell r="AM108">
            <v>21.560581200000001</v>
          </cell>
          <cell r="AN108">
            <v>30</v>
          </cell>
          <cell r="AO108">
            <v>62</v>
          </cell>
          <cell r="AP108">
            <v>40</v>
          </cell>
          <cell r="AQ108">
            <v>42</v>
          </cell>
          <cell r="AR108">
            <v>48</v>
          </cell>
          <cell r="AS108">
            <v>44</v>
          </cell>
          <cell r="AT108">
            <v>60</v>
          </cell>
          <cell r="AU108">
            <v>58</v>
          </cell>
          <cell r="AV108">
            <v>65</v>
          </cell>
          <cell r="AW108">
            <v>82</v>
          </cell>
          <cell r="AX108">
            <v>165</v>
          </cell>
          <cell r="AY108">
            <v>768</v>
          </cell>
          <cell r="AZ108">
            <v>810</v>
          </cell>
          <cell r="BA108">
            <v>778</v>
          </cell>
          <cell r="BB108">
            <v>61</v>
          </cell>
        </row>
        <row r="109">
          <cell r="D109" t="str">
            <v>eo1</v>
          </cell>
          <cell r="Y109">
            <v>97.797251500000016</v>
          </cell>
          <cell r="Z109">
            <v>89.483546000000004</v>
          </cell>
          <cell r="AA109">
            <v>83.641215500000001</v>
          </cell>
          <cell r="AB109">
            <v>92.231715000000008</v>
          </cell>
          <cell r="AC109">
            <v>108.03862950000001</v>
          </cell>
          <cell r="AD109">
            <v>99.556870500000002</v>
          </cell>
          <cell r="AE109">
            <v>98.835228999999998</v>
          </cell>
          <cell r="AF109">
            <v>121.95983626103975</v>
          </cell>
          <cell r="AG109">
            <v>73.489795549999997</v>
          </cell>
          <cell r="AH109">
            <v>142.2734636434827</v>
          </cell>
          <cell r="AI109">
            <v>161.13365000000002</v>
          </cell>
          <cell r="AJ109">
            <v>139.4862</v>
          </cell>
          <cell r="AK109">
            <v>129.52289999999999</v>
          </cell>
          <cell r="AL109">
            <v>144.40816983300002</v>
          </cell>
          <cell r="AM109">
            <v>119.5596</v>
          </cell>
          <cell r="AN109">
            <v>370</v>
          </cell>
          <cell r="AO109">
            <v>338</v>
          </cell>
          <cell r="AP109">
            <v>309</v>
          </cell>
          <cell r="AQ109">
            <v>282</v>
          </cell>
          <cell r="AR109">
            <v>256</v>
          </cell>
          <cell r="AS109">
            <v>292</v>
          </cell>
          <cell r="AT109">
            <v>359</v>
          </cell>
          <cell r="AU109">
            <v>266</v>
          </cell>
          <cell r="AV109">
            <v>291</v>
          </cell>
          <cell r="AW109">
            <v>164</v>
          </cell>
          <cell r="AX109">
            <v>144</v>
          </cell>
          <cell r="AY109">
            <v>119</v>
          </cell>
          <cell r="AZ109">
            <v>138</v>
          </cell>
          <cell r="BA109">
            <v>349</v>
          </cell>
          <cell r="BB109">
            <v>62</v>
          </cell>
        </row>
        <row r="110">
          <cell r="D110" t="str">
            <v>eo2-6</v>
          </cell>
          <cell r="Y110">
            <v>409.7387397</v>
          </cell>
          <cell r="Z110">
            <v>355.43210579999999</v>
          </cell>
          <cell r="AA110">
            <v>254.06549099999995</v>
          </cell>
          <cell r="AB110">
            <v>310.55011144940397</v>
          </cell>
          <cell r="AC110">
            <v>230.0325612</v>
          </cell>
          <cell r="AD110">
            <v>358.80666659999997</v>
          </cell>
          <cell r="AE110">
            <v>303.38599499999998</v>
          </cell>
          <cell r="AF110">
            <v>459.18903449999993</v>
          </cell>
          <cell r="AG110">
            <v>299.41223333999994</v>
          </cell>
          <cell r="AH110">
            <v>221.28221065040543</v>
          </cell>
          <cell r="AI110">
            <v>217.39958999999999</v>
          </cell>
          <cell r="AJ110">
            <v>137.68819999999999</v>
          </cell>
          <cell r="AK110">
            <v>127.0968</v>
          </cell>
          <cell r="AL110">
            <v>123.30613122000001</v>
          </cell>
          <cell r="AM110">
            <v>105.83</v>
          </cell>
          <cell r="AN110">
            <v>370</v>
          </cell>
          <cell r="AO110">
            <v>432</v>
          </cell>
          <cell r="AP110">
            <v>381</v>
          </cell>
          <cell r="AQ110">
            <v>360</v>
          </cell>
          <cell r="AR110">
            <v>361</v>
          </cell>
          <cell r="AS110">
            <v>413</v>
          </cell>
          <cell r="AT110">
            <v>337</v>
          </cell>
          <cell r="AU110">
            <v>281</v>
          </cell>
          <cell r="AV110">
            <v>80</v>
          </cell>
          <cell r="AW110">
            <v>62</v>
          </cell>
          <cell r="AX110">
            <v>41</v>
          </cell>
          <cell r="AY110">
            <v>53</v>
          </cell>
          <cell r="AZ110">
            <v>18</v>
          </cell>
          <cell r="BA110">
            <v>15</v>
          </cell>
          <cell r="BB110">
            <v>63</v>
          </cell>
        </row>
        <row r="111">
          <cell r="D111" t="str">
            <v>övriga petroleumprodukter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64</v>
          </cell>
        </row>
        <row r="112">
          <cell r="D112" t="str">
            <v>naturgas</v>
          </cell>
          <cell r="Y112">
            <v>0.33480000000000004</v>
          </cell>
          <cell r="Z112">
            <v>0.31320000000000003</v>
          </cell>
          <cell r="AA112">
            <v>2.1600000000000001E-2</v>
          </cell>
          <cell r="AB112">
            <v>1.9440000000000002E-2</v>
          </cell>
          <cell r="AC112">
            <v>0</v>
          </cell>
          <cell r="AD112">
            <v>0.6609600000000001</v>
          </cell>
          <cell r="AE112">
            <v>0.34992000000000001</v>
          </cell>
          <cell r="AF112">
            <v>0.34020000000000006</v>
          </cell>
          <cell r="AG112">
            <v>1.1673720000000001</v>
          </cell>
          <cell r="AH112">
            <v>2.9367535135135143</v>
          </cell>
          <cell r="AI112">
            <v>1.9440000000000002</v>
          </cell>
          <cell r="AJ112">
            <v>0</v>
          </cell>
          <cell r="AK112">
            <v>0</v>
          </cell>
          <cell r="AL112">
            <v>4.34940075</v>
          </cell>
          <cell r="AM112">
            <v>0</v>
          </cell>
          <cell r="AN112">
            <v>18</v>
          </cell>
          <cell r="AO112">
            <v>57</v>
          </cell>
          <cell r="AP112">
            <v>39</v>
          </cell>
          <cell r="AQ112">
            <v>31</v>
          </cell>
          <cell r="AR112">
            <v>34</v>
          </cell>
          <cell r="AS112">
            <v>30</v>
          </cell>
          <cell r="AT112">
            <v>25</v>
          </cell>
          <cell r="AU112">
            <v>22</v>
          </cell>
          <cell r="AV112">
            <v>22</v>
          </cell>
          <cell r="AW112">
            <v>3</v>
          </cell>
          <cell r="AX112">
            <v>4</v>
          </cell>
          <cell r="AY112">
            <v>4</v>
          </cell>
          <cell r="AZ112">
            <v>3</v>
          </cell>
          <cell r="BA112">
            <v>3</v>
          </cell>
          <cell r="BB112">
            <v>65</v>
          </cell>
        </row>
        <row r="113">
          <cell r="D113" t="str">
            <v>stadsgas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66</v>
          </cell>
        </row>
        <row r="114">
          <cell r="D114" t="str">
            <v>masugnsgas m.m.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67</v>
          </cell>
        </row>
        <row r="115">
          <cell r="D115" t="str">
            <v>övriga bränslen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3.7971950000000003</v>
          </cell>
          <cell r="AH115">
            <v>4.1104296666666666</v>
          </cell>
          <cell r="AI115">
            <v>0</v>
          </cell>
          <cell r="AJ115">
            <v>1.1539286000000002</v>
          </cell>
          <cell r="AK115">
            <v>0.32947790000000005</v>
          </cell>
          <cell r="AL115">
            <v>0.15874950000000002</v>
          </cell>
          <cell r="AM115">
            <v>0.26749000000000001</v>
          </cell>
          <cell r="AN115">
            <v>1</v>
          </cell>
          <cell r="AO115">
            <v>1</v>
          </cell>
          <cell r="AP115">
            <v>7</v>
          </cell>
          <cell r="AQ115">
            <v>22</v>
          </cell>
          <cell r="AR115">
            <v>16</v>
          </cell>
          <cell r="AS115">
            <v>1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68</v>
          </cell>
        </row>
        <row r="116">
          <cell r="D116" t="str">
            <v>fjärrvärme</v>
          </cell>
          <cell r="Y116">
            <v>309.57100000000003</v>
          </cell>
          <cell r="Z116">
            <v>231.322</v>
          </cell>
          <cell r="AA116">
            <v>212.6</v>
          </cell>
          <cell r="AB116">
            <v>249.91684215937471</v>
          </cell>
          <cell r="AC116">
            <v>264.20127048952719</v>
          </cell>
          <cell r="AD116">
            <v>337.90852746745776</v>
          </cell>
          <cell r="AE116">
            <v>512.88755210162299</v>
          </cell>
          <cell r="AF116">
            <v>487.37441869271231</v>
          </cell>
          <cell r="AG116">
            <v>198.35550000000001</v>
          </cell>
          <cell r="AH116">
            <v>260.35505139876716</v>
          </cell>
          <cell r="AI116">
            <v>574.95829356875186</v>
          </cell>
          <cell r="AJ116">
            <v>583.55999965094713</v>
          </cell>
          <cell r="AK116">
            <v>593.59890044923202</v>
          </cell>
          <cell r="AL116">
            <v>443</v>
          </cell>
          <cell r="AM116">
            <v>406</v>
          </cell>
          <cell r="AN116">
            <v>4591</v>
          </cell>
          <cell r="AO116">
            <v>4752</v>
          </cell>
          <cell r="AP116">
            <v>4802</v>
          </cell>
          <cell r="AQ116">
            <v>4828</v>
          </cell>
          <cell r="AR116">
            <v>5337</v>
          </cell>
          <cell r="AS116">
            <v>4189</v>
          </cell>
          <cell r="AT116">
            <v>4299</v>
          </cell>
          <cell r="AU116">
            <v>4119</v>
          </cell>
          <cell r="AV116">
            <v>4110</v>
          </cell>
          <cell r="AW116">
            <v>4375</v>
          </cell>
          <cell r="AX116">
            <v>4030</v>
          </cell>
          <cell r="AY116">
            <v>3480</v>
          </cell>
          <cell r="AZ116">
            <v>3168</v>
          </cell>
          <cell r="BA116">
            <v>2934</v>
          </cell>
          <cell r="BB116">
            <v>69</v>
          </cell>
        </row>
        <row r="117">
          <cell r="D117" t="str">
            <v>el</v>
          </cell>
          <cell r="Y117">
            <v>1949.701</v>
          </cell>
          <cell r="Z117">
            <v>1835.413</v>
          </cell>
          <cell r="AA117">
            <v>1857.0450000000001</v>
          </cell>
          <cell r="AB117">
            <v>1855.7739999999999</v>
          </cell>
          <cell r="AC117">
            <v>1902.9469999999999</v>
          </cell>
          <cell r="AD117">
            <v>2051.183</v>
          </cell>
          <cell r="AE117">
            <v>2163.0410000000002</v>
          </cell>
          <cell r="AF117">
            <v>2384.5292445460518</v>
          </cell>
          <cell r="AG117">
            <v>2050.2053127105069</v>
          </cell>
          <cell r="AH117">
            <v>1971.4993089048726</v>
          </cell>
          <cell r="AI117">
            <v>2328</v>
          </cell>
          <cell r="AJ117">
            <v>2230</v>
          </cell>
          <cell r="AK117">
            <v>2284</v>
          </cell>
          <cell r="AL117">
            <v>2244</v>
          </cell>
          <cell r="AM117">
            <v>2202</v>
          </cell>
          <cell r="AN117">
            <v>7797</v>
          </cell>
          <cell r="AO117">
            <v>7954</v>
          </cell>
          <cell r="AP117">
            <v>7804</v>
          </cell>
          <cell r="AQ117">
            <v>7951</v>
          </cell>
          <cell r="AR117">
            <v>7443</v>
          </cell>
          <cell r="AS117">
            <v>7573</v>
          </cell>
          <cell r="AT117">
            <v>7312</v>
          </cell>
          <cell r="AU117">
            <v>6937</v>
          </cell>
          <cell r="AV117">
            <v>6614</v>
          </cell>
          <cell r="AW117">
            <v>6757</v>
          </cell>
          <cell r="AX117">
            <v>6766</v>
          </cell>
          <cell r="AY117">
            <v>6737</v>
          </cell>
          <cell r="AZ117">
            <v>6662</v>
          </cell>
          <cell r="BA117">
            <v>6569</v>
          </cell>
          <cell r="BB117">
            <v>70</v>
          </cell>
        </row>
        <row r="118">
          <cell r="D118" t="str">
            <v>totalt</v>
          </cell>
          <cell r="Y118">
            <v>9194.8309900999993</v>
          </cell>
          <cell r="Z118">
            <v>9536.6530683000001</v>
          </cell>
          <cell r="AA118">
            <v>9487.134062000001</v>
          </cell>
          <cell r="AB118">
            <v>9703.1944801087793</v>
          </cell>
          <cell r="AC118">
            <v>10594.306048689528</v>
          </cell>
          <cell r="AD118">
            <v>11304.834128290619</v>
          </cell>
          <cell r="AE118">
            <v>10871.74035590516</v>
          </cell>
          <cell r="AF118">
            <v>11049.697199423677</v>
          </cell>
          <cell r="AG118">
            <v>8390.4956392972999</v>
          </cell>
          <cell r="AH118">
            <v>8059.7555980089473</v>
          </cell>
          <cell r="AI118">
            <v>8766.6897835687523</v>
          </cell>
          <cell r="AJ118">
            <v>8377.6698255509473</v>
          </cell>
          <cell r="AK118">
            <v>8412.9013783492337</v>
          </cell>
          <cell r="AL118">
            <v>8277.549356503001</v>
          </cell>
          <cell r="AM118">
            <v>7044.6658508999999</v>
          </cell>
          <cell r="AN118">
            <v>32030</v>
          </cell>
          <cell r="AO118">
            <v>32398</v>
          </cell>
          <cell r="AP118">
            <v>30704</v>
          </cell>
          <cell r="AQ118">
            <v>31231</v>
          </cell>
          <cell r="AR118">
            <v>29687</v>
          </cell>
          <cell r="AS118">
            <v>29451</v>
          </cell>
          <cell r="AT118">
            <v>27773</v>
          </cell>
          <cell r="AU118">
            <v>28221</v>
          </cell>
          <cell r="AV118">
            <v>26767</v>
          </cell>
          <cell r="AW118">
            <v>27862</v>
          </cell>
          <cell r="AX118">
            <v>27564</v>
          </cell>
          <cell r="AY118">
            <v>27295</v>
          </cell>
          <cell r="AZ118">
            <v>28282</v>
          </cell>
          <cell r="BA118">
            <v>26241</v>
          </cell>
          <cell r="BB118">
            <v>71</v>
          </cell>
        </row>
        <row r="120">
          <cell r="D120" t="str">
            <v>biobränsle</v>
          </cell>
          <cell r="H120">
            <v>111829</v>
          </cell>
          <cell r="I120">
            <v>116811</v>
          </cell>
          <cell r="J120">
            <v>119659</v>
          </cell>
          <cell r="K120">
            <v>109023</v>
          </cell>
          <cell r="L120">
            <v>99353</v>
          </cell>
          <cell r="M120">
            <v>108941</v>
          </cell>
          <cell r="N120">
            <v>111578</v>
          </cell>
          <cell r="O120">
            <v>107684</v>
          </cell>
          <cell r="P120">
            <v>108103</v>
          </cell>
          <cell r="Q120">
            <v>100106</v>
          </cell>
          <cell r="Y120">
            <v>35611.060000000005</v>
          </cell>
          <cell r="Z120">
            <v>36715.910000000003</v>
          </cell>
          <cell r="AA120">
            <v>36448.42</v>
          </cell>
          <cell r="AB120">
            <v>37820.76</v>
          </cell>
          <cell r="AC120">
            <v>37913.800000000003</v>
          </cell>
          <cell r="AD120">
            <v>39937.42</v>
          </cell>
          <cell r="AE120">
            <v>38792.783770000002</v>
          </cell>
          <cell r="AF120">
            <v>43257.72332525986</v>
          </cell>
          <cell r="AG120">
            <v>43817.081690000006</v>
          </cell>
          <cell r="AH120">
            <v>44237.886730000006</v>
          </cell>
          <cell r="AI120">
            <v>45377.934000000001</v>
          </cell>
          <cell r="AJ120">
            <v>44687.788144940001</v>
          </cell>
          <cell r="AK120">
            <v>48093.966983999999</v>
          </cell>
          <cell r="AL120">
            <v>49325.801813900005</v>
          </cell>
          <cell r="AM120">
            <v>50309.033065999996</v>
          </cell>
          <cell r="AN120">
            <v>169734</v>
          </cell>
          <cell r="AO120">
            <v>169906</v>
          </cell>
          <cell r="AP120">
            <v>177007</v>
          </cell>
          <cell r="AQ120">
            <v>172890</v>
          </cell>
          <cell r="AR120">
            <v>169234</v>
          </cell>
          <cell r="AS120">
            <v>174257</v>
          </cell>
          <cell r="AT120">
            <v>174341</v>
          </cell>
          <cell r="AU120">
            <v>177634</v>
          </cell>
          <cell r="AV120">
            <v>178621</v>
          </cell>
          <cell r="AW120">
            <v>181714</v>
          </cell>
          <cell r="AX120">
            <v>183408</v>
          </cell>
          <cell r="AY120">
            <v>181571</v>
          </cell>
          <cell r="AZ120">
            <v>179024</v>
          </cell>
          <cell r="BA120">
            <v>178242</v>
          </cell>
          <cell r="BB120">
            <v>73</v>
          </cell>
        </row>
        <row r="121">
          <cell r="D121" t="str">
            <v>kol</v>
          </cell>
          <cell r="H121">
            <v>109</v>
          </cell>
          <cell r="I121">
            <v>327</v>
          </cell>
          <cell r="J121">
            <v>136</v>
          </cell>
          <cell r="K121">
            <v>189</v>
          </cell>
          <cell r="L121">
            <v>82</v>
          </cell>
          <cell r="M121">
            <v>82</v>
          </cell>
          <cell r="N121">
            <v>163</v>
          </cell>
          <cell r="O121">
            <v>136</v>
          </cell>
          <cell r="P121">
            <v>571</v>
          </cell>
          <cell r="Q121">
            <v>1007</v>
          </cell>
          <cell r="Y121">
            <v>724.47224199999994</v>
          </cell>
          <cell r="Z121">
            <v>754.30958850000002</v>
          </cell>
          <cell r="AA121">
            <v>615.68347749999998</v>
          </cell>
          <cell r="AB121">
            <v>567.1968445</v>
          </cell>
          <cell r="AC121">
            <v>520.96294250000005</v>
          </cell>
          <cell r="AD121">
            <v>334.51543449999997</v>
          </cell>
          <cell r="AE121">
            <v>410.47845409718053</v>
          </cell>
          <cell r="AF121">
            <v>279.70150000000001</v>
          </cell>
          <cell r="AG121">
            <v>219.22550000000001</v>
          </cell>
          <cell r="AH121">
            <v>251.92033750000002</v>
          </cell>
          <cell r="AI121">
            <v>120.19605</v>
          </cell>
          <cell r="AJ121">
            <v>111.8806</v>
          </cell>
          <cell r="AK121">
            <v>143.63049999999998</v>
          </cell>
          <cell r="AL121">
            <v>122.76627999999998</v>
          </cell>
          <cell r="AM121">
            <v>172.9386815</v>
          </cell>
          <cell r="AN121">
            <v>972</v>
          </cell>
          <cell r="AO121">
            <v>916</v>
          </cell>
          <cell r="AP121">
            <v>878</v>
          </cell>
          <cell r="AQ121">
            <v>440</v>
          </cell>
          <cell r="AR121">
            <v>377</v>
          </cell>
          <cell r="AS121">
            <v>271</v>
          </cell>
          <cell r="AT121">
            <v>122</v>
          </cell>
          <cell r="AU121">
            <v>277</v>
          </cell>
          <cell r="AV121">
            <v>400</v>
          </cell>
          <cell r="AW121">
            <v>421</v>
          </cell>
          <cell r="AX121">
            <v>301</v>
          </cell>
          <cell r="AY121">
            <v>213</v>
          </cell>
          <cell r="AZ121">
            <v>131</v>
          </cell>
          <cell r="BA121">
            <v>302</v>
          </cell>
          <cell r="BB121">
            <v>74</v>
          </cell>
        </row>
        <row r="122">
          <cell r="D122" t="str">
            <v>koks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75</v>
          </cell>
        </row>
        <row r="123">
          <cell r="D123" t="str">
            <v>gasol</v>
          </cell>
          <cell r="H123">
            <v>404</v>
          </cell>
          <cell r="I123">
            <v>507</v>
          </cell>
          <cell r="J123">
            <v>461</v>
          </cell>
          <cell r="K123">
            <v>552</v>
          </cell>
          <cell r="L123">
            <v>599</v>
          </cell>
          <cell r="M123">
            <v>599</v>
          </cell>
          <cell r="N123">
            <v>691</v>
          </cell>
          <cell r="O123">
            <v>691</v>
          </cell>
          <cell r="P123">
            <v>691</v>
          </cell>
          <cell r="Q123">
            <v>737</v>
          </cell>
          <cell r="Y123">
            <v>272.07085770000003</v>
          </cell>
          <cell r="Z123">
            <v>262.28208599999999</v>
          </cell>
          <cell r="AA123">
            <v>246.54669599999997</v>
          </cell>
          <cell r="AB123">
            <v>235.27606299999997</v>
          </cell>
          <cell r="AC123">
            <v>259.71069299999999</v>
          </cell>
          <cell r="AD123">
            <v>178.08150759294816</v>
          </cell>
          <cell r="AE123">
            <v>290.46506499999998</v>
          </cell>
          <cell r="AF123">
            <v>559.95577390000005</v>
          </cell>
          <cell r="AG123">
            <v>413.2970545</v>
          </cell>
          <cell r="AH123">
            <v>415.64167972962957</v>
          </cell>
          <cell r="AI123">
            <v>519.39580000000001</v>
          </cell>
          <cell r="AJ123">
            <v>486.13399999999996</v>
          </cell>
          <cell r="AK123">
            <v>524.51710000000003</v>
          </cell>
          <cell r="AL123">
            <v>589.38336217099993</v>
          </cell>
          <cell r="AM123">
            <v>573.15646620000007</v>
          </cell>
          <cell r="AN123">
            <v>2313</v>
          </cell>
          <cell r="AO123">
            <v>2330</v>
          </cell>
          <cell r="AP123">
            <v>2462</v>
          </cell>
          <cell r="AQ123">
            <v>2489</v>
          </cell>
          <cell r="AR123">
            <v>2297</v>
          </cell>
          <cell r="AS123">
            <v>2441</v>
          </cell>
          <cell r="AT123">
            <v>2385</v>
          </cell>
          <cell r="AU123">
            <v>2329</v>
          </cell>
          <cell r="AV123">
            <v>2359</v>
          </cell>
          <cell r="AW123">
            <v>2322</v>
          </cell>
          <cell r="AX123">
            <v>2357</v>
          </cell>
          <cell r="AY123">
            <v>2023</v>
          </cell>
          <cell r="AZ123">
            <v>1971</v>
          </cell>
          <cell r="BA123">
            <v>2084</v>
          </cell>
          <cell r="BB123">
            <v>76</v>
          </cell>
        </row>
        <row r="124">
          <cell r="D124" t="str">
            <v>bensin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1</v>
          </cell>
          <cell r="AQ124">
            <v>0</v>
          </cell>
          <cell r="AR124">
            <v>1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77</v>
          </cell>
        </row>
        <row r="125">
          <cell r="D125" t="str">
            <v>lättoljor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78</v>
          </cell>
        </row>
        <row r="126">
          <cell r="D126" t="str">
            <v>diesel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Y126">
            <v>30.150774999999999</v>
          </cell>
          <cell r="Z126">
            <v>7.4536670000000003</v>
          </cell>
          <cell r="AA126">
            <v>7.4338960000000007</v>
          </cell>
          <cell r="AB126">
            <v>10.2512635</v>
          </cell>
          <cell r="AC126">
            <v>10.2512635</v>
          </cell>
          <cell r="AD126">
            <v>6.6727125000000003</v>
          </cell>
          <cell r="AE126">
            <v>6.2179795000000002</v>
          </cell>
          <cell r="AF126">
            <v>2.5806296964965361</v>
          </cell>
          <cell r="AG126">
            <v>12.467794436487914</v>
          </cell>
          <cell r="AH126">
            <v>8.2817569269393889</v>
          </cell>
          <cell r="AI126">
            <v>16.805350000000001</v>
          </cell>
          <cell r="AJ126">
            <v>9.9633000000000003</v>
          </cell>
          <cell r="AK126">
            <v>0</v>
          </cell>
          <cell r="AL126">
            <v>0.2391192</v>
          </cell>
          <cell r="AM126">
            <v>3.9853200000000005E-2</v>
          </cell>
          <cell r="AN126">
            <v>2</v>
          </cell>
          <cell r="AO126">
            <v>1</v>
          </cell>
          <cell r="AP126">
            <v>2</v>
          </cell>
          <cell r="AQ126">
            <v>5</v>
          </cell>
          <cell r="AR126">
            <v>31</v>
          </cell>
          <cell r="AS126">
            <v>13</v>
          </cell>
          <cell r="AT126">
            <v>6</v>
          </cell>
          <cell r="AU126">
            <v>14</v>
          </cell>
          <cell r="AV126">
            <v>23</v>
          </cell>
          <cell r="AW126">
            <v>23</v>
          </cell>
          <cell r="AX126">
            <v>30</v>
          </cell>
          <cell r="AY126">
            <v>111</v>
          </cell>
          <cell r="AZ126">
            <v>82</v>
          </cell>
          <cell r="BA126">
            <v>80</v>
          </cell>
          <cell r="BB126">
            <v>79</v>
          </cell>
        </row>
        <row r="127">
          <cell r="D127" t="str">
            <v>eo1</v>
          </cell>
          <cell r="H127">
            <v>1068</v>
          </cell>
          <cell r="I127">
            <v>1068</v>
          </cell>
          <cell r="J127">
            <v>1246</v>
          </cell>
          <cell r="K127">
            <v>1281</v>
          </cell>
          <cell r="L127">
            <v>1068</v>
          </cell>
          <cell r="M127">
            <v>1032</v>
          </cell>
          <cell r="N127">
            <v>1281</v>
          </cell>
          <cell r="O127">
            <v>1317</v>
          </cell>
          <cell r="P127">
            <v>1103</v>
          </cell>
          <cell r="Q127">
            <v>712</v>
          </cell>
          <cell r="Y127">
            <v>332.14291449999996</v>
          </cell>
          <cell r="Z127">
            <v>296.16958</v>
          </cell>
          <cell r="AA127">
            <v>299.63939049999999</v>
          </cell>
          <cell r="AB127">
            <v>367.50334800000002</v>
          </cell>
          <cell r="AC127">
            <v>385.37633200000005</v>
          </cell>
          <cell r="AD127">
            <v>431.36367800000005</v>
          </cell>
          <cell r="AE127">
            <v>467.59403550000002</v>
          </cell>
          <cell r="AF127">
            <v>711.46932050000009</v>
          </cell>
          <cell r="AG127">
            <v>157.7488548</v>
          </cell>
          <cell r="AH127">
            <v>124.04885859971509</v>
          </cell>
          <cell r="AI127">
            <v>107.75195000000001</v>
          </cell>
          <cell r="AJ127">
            <v>99.63300000000001</v>
          </cell>
          <cell r="AK127">
            <v>99.63300000000001</v>
          </cell>
          <cell r="AL127">
            <v>105.33619218600002</v>
          </cell>
          <cell r="AM127">
            <v>139.4862</v>
          </cell>
          <cell r="AN127">
            <v>430</v>
          </cell>
          <cell r="AO127">
            <v>495</v>
          </cell>
          <cell r="AP127">
            <v>346</v>
          </cell>
          <cell r="AQ127">
            <v>312</v>
          </cell>
          <cell r="AR127">
            <v>449</v>
          </cell>
          <cell r="AS127">
            <v>432</v>
          </cell>
          <cell r="AT127">
            <v>411</v>
          </cell>
          <cell r="AU127">
            <v>326</v>
          </cell>
          <cell r="AV127">
            <v>390</v>
          </cell>
          <cell r="AW127">
            <v>355</v>
          </cell>
          <cell r="AX127">
            <v>498</v>
          </cell>
          <cell r="AY127">
            <v>680</v>
          </cell>
          <cell r="AZ127">
            <v>636</v>
          </cell>
          <cell r="BA127">
            <v>734</v>
          </cell>
          <cell r="BB127">
            <v>80</v>
          </cell>
        </row>
        <row r="128">
          <cell r="D128" t="str">
            <v>eo2-6</v>
          </cell>
          <cell r="H128">
            <v>74409</v>
          </cell>
          <cell r="I128">
            <v>74681</v>
          </cell>
          <cell r="J128">
            <v>67166</v>
          </cell>
          <cell r="K128">
            <v>69775</v>
          </cell>
          <cell r="L128">
            <v>65804</v>
          </cell>
          <cell r="M128">
            <v>64052</v>
          </cell>
          <cell r="N128">
            <v>63429</v>
          </cell>
          <cell r="O128">
            <v>56887</v>
          </cell>
          <cell r="P128">
            <v>49489</v>
          </cell>
          <cell r="Q128">
            <v>37458</v>
          </cell>
          <cell r="Y128">
            <v>4177.0248686999994</v>
          </cell>
          <cell r="Z128">
            <v>3495.5799050999999</v>
          </cell>
          <cell r="AA128">
            <v>3513.00432</v>
          </cell>
          <cell r="AB128">
            <v>4812.2544734310941</v>
          </cell>
          <cell r="AC128">
            <v>6340.2373164000001</v>
          </cell>
          <cell r="AD128">
            <v>6527.0170934999996</v>
          </cell>
          <cell r="AE128">
            <v>7608.0446666999997</v>
          </cell>
          <cell r="AF128">
            <v>7632.8455254</v>
          </cell>
          <cell r="AG128">
            <v>7452.8300121599996</v>
          </cell>
          <cell r="AH128">
            <v>7152.4831648833333</v>
          </cell>
          <cell r="AI128">
            <v>5786.5064999999995</v>
          </cell>
          <cell r="AJ128">
            <v>5189.7860000000001</v>
          </cell>
          <cell r="AK128">
            <v>5285.1086000000005</v>
          </cell>
          <cell r="AL128">
            <v>6180.0592630000001</v>
          </cell>
          <cell r="AM128">
            <v>6000.5609999999997</v>
          </cell>
          <cell r="AN128">
            <v>17818</v>
          </cell>
          <cell r="AO128">
            <v>17319</v>
          </cell>
          <cell r="AP128">
            <v>14124</v>
          </cell>
          <cell r="AQ128">
            <v>14379</v>
          </cell>
          <cell r="AR128">
            <v>10982</v>
          </cell>
          <cell r="AS128">
            <v>11617</v>
          </cell>
          <cell r="AT128">
            <v>9623</v>
          </cell>
          <cell r="AU128">
            <v>8742</v>
          </cell>
          <cell r="AV128">
            <v>6357</v>
          </cell>
          <cell r="AW128">
            <v>3870</v>
          </cell>
          <cell r="AX128">
            <v>3445</v>
          </cell>
          <cell r="AY128">
            <v>3600</v>
          </cell>
          <cell r="AZ128">
            <v>4437</v>
          </cell>
          <cell r="BA128">
            <v>4470</v>
          </cell>
          <cell r="BB128">
            <v>81</v>
          </cell>
        </row>
        <row r="129">
          <cell r="D129" t="str">
            <v>övriga petroleumprodukter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40.584800000000001</v>
          </cell>
          <cell r="AC129">
            <v>40.255000000000003</v>
          </cell>
          <cell r="AD129">
            <v>26.129359764660663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82</v>
          </cell>
        </row>
        <row r="130">
          <cell r="D130" t="str">
            <v>naturgas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Y130">
            <v>304.18200000000002</v>
          </cell>
          <cell r="Z130">
            <v>272.3544</v>
          </cell>
          <cell r="AA130">
            <v>401.91120000000001</v>
          </cell>
          <cell r="AB130">
            <v>549.36468000000002</v>
          </cell>
          <cell r="AC130">
            <v>581.62536</v>
          </cell>
          <cell r="AD130">
            <v>543.7854000000001</v>
          </cell>
          <cell r="AE130">
            <v>543.92148000000009</v>
          </cell>
          <cell r="AF130">
            <v>530.65368000000001</v>
          </cell>
          <cell r="AG130">
            <v>599.00083200000006</v>
          </cell>
          <cell r="AH130">
            <v>393.09506861538466</v>
          </cell>
          <cell r="AI130">
            <v>314.928</v>
          </cell>
          <cell r="AJ130">
            <v>529.47</v>
          </cell>
          <cell r="AK130">
            <v>316.8</v>
          </cell>
          <cell r="AL130">
            <v>600.90224850000004</v>
          </cell>
          <cell r="AM130">
            <v>386.66249999999997</v>
          </cell>
          <cell r="AN130">
            <v>1159</v>
          </cell>
          <cell r="AO130">
            <v>1134</v>
          </cell>
          <cell r="AP130">
            <v>800</v>
          </cell>
          <cell r="AQ130">
            <v>772</v>
          </cell>
          <cell r="AR130">
            <v>579</v>
          </cell>
          <cell r="AS130">
            <v>394</v>
          </cell>
          <cell r="AT130">
            <v>487</v>
          </cell>
          <cell r="AU130">
            <v>526</v>
          </cell>
          <cell r="AV130">
            <v>504</v>
          </cell>
          <cell r="AW130">
            <v>535</v>
          </cell>
          <cell r="AX130">
            <v>689</v>
          </cell>
          <cell r="AY130">
            <v>1114</v>
          </cell>
          <cell r="AZ130">
            <v>1424</v>
          </cell>
          <cell r="BA130">
            <v>1558</v>
          </cell>
          <cell r="BB130">
            <v>83</v>
          </cell>
        </row>
        <row r="131">
          <cell r="D131" t="str">
            <v>stadsgas</v>
          </cell>
          <cell r="H131">
            <v>84</v>
          </cell>
          <cell r="I131">
            <v>84</v>
          </cell>
          <cell r="J131">
            <v>100</v>
          </cell>
          <cell r="K131">
            <v>83</v>
          </cell>
          <cell r="L131">
            <v>67</v>
          </cell>
          <cell r="M131">
            <v>50</v>
          </cell>
          <cell r="N131">
            <v>33</v>
          </cell>
          <cell r="O131">
            <v>33</v>
          </cell>
          <cell r="P131">
            <v>50</v>
          </cell>
          <cell r="Q131">
            <v>67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84</v>
          </cell>
        </row>
        <row r="132">
          <cell r="D132" t="str">
            <v>masugnsgas m.m.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85</v>
          </cell>
        </row>
        <row r="133">
          <cell r="D133" t="str">
            <v>övriga bränslen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Y133">
            <v>121.41720000000001</v>
          </cell>
          <cell r="Z133">
            <v>81.956609999999998</v>
          </cell>
          <cell r="AA133">
            <v>127.93</v>
          </cell>
          <cell r="AB133">
            <v>165.64609000000002</v>
          </cell>
          <cell r="AC133">
            <v>92.458500000000015</v>
          </cell>
          <cell r="AD133">
            <v>169.33280000000002</v>
          </cell>
          <cell r="AE133">
            <v>116.30000000000001</v>
          </cell>
          <cell r="AF133">
            <v>0</v>
          </cell>
          <cell r="AG133">
            <v>58.033700000000003</v>
          </cell>
          <cell r="AH133">
            <v>61.850924444444452</v>
          </cell>
          <cell r="AI133">
            <v>3.4890000000000003</v>
          </cell>
          <cell r="AJ133">
            <v>0</v>
          </cell>
          <cell r="AK133">
            <v>0.19968710000000003</v>
          </cell>
          <cell r="AL133">
            <v>0.92760880000000001</v>
          </cell>
          <cell r="AM133">
            <v>4.6520000000000006E-2</v>
          </cell>
          <cell r="AN133">
            <v>1061</v>
          </cell>
          <cell r="AO133">
            <v>0</v>
          </cell>
          <cell r="AP133">
            <v>235</v>
          </cell>
          <cell r="AQ133">
            <v>115</v>
          </cell>
          <cell r="AR133">
            <v>202</v>
          </cell>
          <cell r="AS133">
            <v>126</v>
          </cell>
          <cell r="AT133">
            <v>735</v>
          </cell>
          <cell r="AU133">
            <v>646</v>
          </cell>
          <cell r="AV133">
            <v>515</v>
          </cell>
          <cell r="AW133">
            <v>584</v>
          </cell>
          <cell r="AX133">
            <v>417</v>
          </cell>
          <cell r="AY133">
            <v>452</v>
          </cell>
          <cell r="AZ133">
            <v>399</v>
          </cell>
          <cell r="BA133">
            <v>277</v>
          </cell>
          <cell r="BB133">
            <v>86</v>
          </cell>
        </row>
        <row r="134">
          <cell r="D134" t="str">
            <v>fjärrvärme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Y134">
            <v>260.88499999999999</v>
          </cell>
          <cell r="Z134">
            <v>803.11469999999997</v>
          </cell>
          <cell r="AA134">
            <v>672.1</v>
          </cell>
          <cell r="AB134">
            <v>706.55548293898971</v>
          </cell>
          <cell r="AC134">
            <v>778.32108781927786</v>
          </cell>
          <cell r="AD134">
            <v>988.36442716859267</v>
          </cell>
          <cell r="AE134">
            <v>692.39604867398509</v>
          </cell>
          <cell r="AF134">
            <v>837.8768494974197</v>
          </cell>
          <cell r="AG134">
            <v>21.6752</v>
          </cell>
          <cell r="AH134">
            <v>22.829233333333335</v>
          </cell>
          <cell r="AI134">
            <v>686.72008284932008</v>
          </cell>
          <cell r="AJ134">
            <v>704.94673916743091</v>
          </cell>
          <cell r="AK134">
            <v>717.07383901459184</v>
          </cell>
          <cell r="AL134">
            <v>165</v>
          </cell>
          <cell r="AM134">
            <v>211</v>
          </cell>
          <cell r="AN134">
            <v>910</v>
          </cell>
          <cell r="AO134">
            <v>906</v>
          </cell>
          <cell r="AP134">
            <v>794</v>
          </cell>
          <cell r="AQ134">
            <v>818</v>
          </cell>
          <cell r="AR134">
            <v>827</v>
          </cell>
          <cell r="AS134">
            <v>548</v>
          </cell>
          <cell r="AT134">
            <v>554</v>
          </cell>
          <cell r="AU134">
            <v>542</v>
          </cell>
          <cell r="AV134">
            <v>509</v>
          </cell>
          <cell r="AW134">
            <v>468</v>
          </cell>
          <cell r="AX134">
            <v>461</v>
          </cell>
          <cell r="AY134">
            <v>463</v>
          </cell>
          <cell r="AZ134">
            <v>456</v>
          </cell>
          <cell r="BA134">
            <v>463</v>
          </cell>
          <cell r="BB134">
            <v>87</v>
          </cell>
        </row>
        <row r="135">
          <cell r="D135" t="str">
            <v>el</v>
          </cell>
          <cell r="H135">
            <v>47340</v>
          </cell>
          <cell r="I135">
            <v>48704</v>
          </cell>
          <cell r="J135">
            <v>44287</v>
          </cell>
          <cell r="K135">
            <v>47441</v>
          </cell>
          <cell r="L135">
            <v>47470</v>
          </cell>
          <cell r="M135">
            <v>50663</v>
          </cell>
          <cell r="N135">
            <v>54011</v>
          </cell>
          <cell r="O135">
            <v>52182</v>
          </cell>
          <cell r="P135">
            <v>52607</v>
          </cell>
          <cell r="Q135">
            <v>49799</v>
          </cell>
          <cell r="Y135">
            <v>19682.037</v>
          </cell>
          <cell r="Z135">
            <v>19117.403999999999</v>
          </cell>
          <cell r="AA135">
            <v>18840.429</v>
          </cell>
          <cell r="AB135">
            <v>18820.489000000001</v>
          </cell>
          <cell r="AC135">
            <v>19083.242999999999</v>
          </cell>
          <cell r="AD135">
            <v>19134.364000000001</v>
          </cell>
          <cell r="AE135">
            <v>19021.475999999999</v>
          </cell>
          <cell r="AF135">
            <v>19809.244525471262</v>
          </cell>
          <cell r="AG135">
            <v>20730.067142114895</v>
          </cell>
          <cell r="AH135">
            <v>21529.05017051888</v>
          </cell>
          <cell r="AI135">
            <v>23564</v>
          </cell>
          <cell r="AJ135">
            <v>22654</v>
          </cell>
          <cell r="AK135">
            <v>22730</v>
          </cell>
          <cell r="AL135">
            <v>22590</v>
          </cell>
          <cell r="AM135">
            <v>23104</v>
          </cell>
          <cell r="AN135">
            <v>85376</v>
          </cell>
          <cell r="AO135">
            <v>86607</v>
          </cell>
          <cell r="AP135">
            <v>86957</v>
          </cell>
          <cell r="AQ135">
            <v>85739</v>
          </cell>
          <cell r="AR135">
            <v>80298</v>
          </cell>
          <cell r="AS135">
            <v>81825</v>
          </cell>
          <cell r="AT135">
            <v>81235</v>
          </cell>
          <cell r="AU135">
            <v>81682</v>
          </cell>
          <cell r="AV135">
            <v>77119</v>
          </cell>
          <cell r="AW135">
            <v>73649</v>
          </cell>
          <cell r="AX135">
            <v>72967</v>
          </cell>
          <cell r="AY135">
            <v>71584</v>
          </cell>
          <cell r="AZ135">
            <v>72094</v>
          </cell>
          <cell r="BA135">
            <v>71283</v>
          </cell>
          <cell r="BB135">
            <v>88</v>
          </cell>
        </row>
        <row r="136">
          <cell r="D136" t="str">
            <v>totalt</v>
          </cell>
          <cell r="Y136">
            <v>61515.442857900009</v>
          </cell>
          <cell r="Z136">
            <v>61806.534536599996</v>
          </cell>
          <cell r="AA136">
            <v>61173.097980000006</v>
          </cell>
          <cell r="AB136">
            <v>64095.882045370076</v>
          </cell>
          <cell r="AC136">
            <v>66006.241495219278</v>
          </cell>
          <cell r="AD136">
            <v>68277.046413026212</v>
          </cell>
          <cell r="AE136">
            <v>67949.67749947116</v>
          </cell>
          <cell r="AF136">
            <v>73622.051129725034</v>
          </cell>
          <cell r="AG136">
            <v>73481.427780011378</v>
          </cell>
          <cell r="AH136">
            <v>74197.087924551655</v>
          </cell>
          <cell r="AI136">
            <v>76497.726732849333</v>
          </cell>
          <cell r="AJ136">
            <v>74473.601784107435</v>
          </cell>
          <cell r="AK136">
            <v>77910.929710114578</v>
          </cell>
          <cell r="AL136">
            <v>79680.415887757015</v>
          </cell>
          <cell r="AM136">
            <v>80896.924286900015</v>
          </cell>
          <cell r="AN136">
            <v>279775</v>
          </cell>
          <cell r="AO136">
            <v>279614</v>
          </cell>
          <cell r="AP136">
            <v>283606</v>
          </cell>
          <cell r="AQ136">
            <v>277959</v>
          </cell>
          <cell r="AR136">
            <v>265277</v>
          </cell>
          <cell r="AS136">
            <v>271924</v>
          </cell>
          <cell r="AT136">
            <v>269899</v>
          </cell>
          <cell r="AU136">
            <v>272718</v>
          </cell>
          <cell r="AV136">
            <v>266797</v>
          </cell>
          <cell r="AW136">
            <v>263941</v>
          </cell>
          <cell r="AX136">
            <v>264573</v>
          </cell>
          <cell r="AY136">
            <v>261811</v>
          </cell>
          <cell r="AZ136">
            <v>260654</v>
          </cell>
          <cell r="BA136">
            <v>259493</v>
          </cell>
          <cell r="BB136">
            <v>89</v>
          </cell>
        </row>
        <row r="138">
          <cell r="D138" t="str">
            <v>biobränsle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0.24128955437861566</v>
          </cell>
          <cell r="AF138">
            <v>0.10924042602694339</v>
          </cell>
          <cell r="AG138">
            <v>0</v>
          </cell>
          <cell r="AH138">
            <v>0</v>
          </cell>
          <cell r="AI138">
            <v>0</v>
          </cell>
          <cell r="AJ138">
            <v>3.0354300000000003</v>
          </cell>
          <cell r="AK138">
            <v>0</v>
          </cell>
          <cell r="AL138">
            <v>0</v>
          </cell>
          <cell r="AM138">
            <v>0.36053000000000002</v>
          </cell>
          <cell r="AN138">
            <v>23</v>
          </cell>
          <cell r="AO138">
            <v>1</v>
          </cell>
          <cell r="AP138">
            <v>2</v>
          </cell>
          <cell r="AQ138">
            <v>1</v>
          </cell>
          <cell r="AR138">
            <v>1</v>
          </cell>
          <cell r="AS138">
            <v>1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2</v>
          </cell>
          <cell r="AZ138">
            <v>3</v>
          </cell>
          <cell r="BA138">
            <v>3</v>
          </cell>
          <cell r="BB138">
            <v>91</v>
          </cell>
        </row>
        <row r="139">
          <cell r="D139" t="str">
            <v>kol</v>
          </cell>
          <cell r="Y139">
            <v>0.105833</v>
          </cell>
          <cell r="Z139">
            <v>0.80130699999999999</v>
          </cell>
          <cell r="AA139">
            <v>1.6857685</v>
          </cell>
          <cell r="AB139">
            <v>5.2916499999999998E-2</v>
          </cell>
          <cell r="AC139">
            <v>0</v>
          </cell>
          <cell r="AD139">
            <v>0</v>
          </cell>
          <cell r="AE139">
            <v>1.0100148555775523</v>
          </cell>
          <cell r="AF139">
            <v>0</v>
          </cell>
          <cell r="AG139">
            <v>0</v>
          </cell>
          <cell r="AH139">
            <v>0</v>
          </cell>
          <cell r="AI139">
            <v>3.7797499999999999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92</v>
          </cell>
        </row>
        <row r="140">
          <cell r="D140" t="str">
            <v>koks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22.597089999999998</v>
          </cell>
          <cell r="AJ140">
            <v>19.480249999999998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93</v>
          </cell>
        </row>
        <row r="141">
          <cell r="D141" t="str">
            <v>gasol</v>
          </cell>
          <cell r="Y141">
            <v>46.886711500000004</v>
          </cell>
          <cell r="Z141">
            <v>81.887992999999994</v>
          </cell>
          <cell r="AA141">
            <v>40.873634999999993</v>
          </cell>
          <cell r="AB141">
            <v>46.950309999999995</v>
          </cell>
          <cell r="AC141">
            <v>59.986376999999997</v>
          </cell>
          <cell r="AD141">
            <v>43.590880258334778</v>
          </cell>
          <cell r="AE141">
            <v>55.675136000000002</v>
          </cell>
          <cell r="AF141">
            <v>57.133538000000001</v>
          </cell>
          <cell r="AG141">
            <v>60.797453199999993</v>
          </cell>
          <cell r="AH141">
            <v>56.781532513095236</v>
          </cell>
          <cell r="AI141">
            <v>65.244299999999996</v>
          </cell>
          <cell r="AJ141">
            <v>51.171999999999997</v>
          </cell>
          <cell r="AK141">
            <v>51.172400000000003</v>
          </cell>
          <cell r="AL141">
            <v>58.506684229999998</v>
          </cell>
          <cell r="AM141">
            <v>64.106224100000006</v>
          </cell>
          <cell r="AN141">
            <v>86</v>
          </cell>
          <cell r="AO141">
            <v>131</v>
          </cell>
          <cell r="AP141">
            <v>123</v>
          </cell>
          <cell r="AQ141">
            <v>111</v>
          </cell>
          <cell r="AR141">
            <v>74</v>
          </cell>
          <cell r="AS141">
            <v>67</v>
          </cell>
          <cell r="AT141">
            <v>63</v>
          </cell>
          <cell r="AU141">
            <v>52</v>
          </cell>
          <cell r="AV141">
            <v>50</v>
          </cell>
          <cell r="AW141">
            <v>58</v>
          </cell>
          <cell r="AX141">
            <v>54</v>
          </cell>
          <cell r="AY141">
            <v>27</v>
          </cell>
          <cell r="AZ141">
            <v>23</v>
          </cell>
          <cell r="BA141">
            <v>26</v>
          </cell>
          <cell r="BB141">
            <v>94</v>
          </cell>
        </row>
        <row r="142">
          <cell r="D142" t="str">
            <v>bensin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4</v>
          </cell>
          <cell r="AO142">
            <v>1</v>
          </cell>
          <cell r="AP142">
            <v>1</v>
          </cell>
          <cell r="AQ142">
            <v>1</v>
          </cell>
          <cell r="AR142">
            <v>1</v>
          </cell>
          <cell r="AS142">
            <v>1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95</v>
          </cell>
        </row>
        <row r="143">
          <cell r="D143" t="str">
            <v>lättoljor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96</v>
          </cell>
        </row>
        <row r="144">
          <cell r="D144" t="str">
            <v>diesel</v>
          </cell>
          <cell r="Y144">
            <v>0.3855345</v>
          </cell>
          <cell r="Z144">
            <v>0</v>
          </cell>
          <cell r="AA144">
            <v>0.14828250000000001</v>
          </cell>
          <cell r="AB144">
            <v>9.8855000000000002E-3</v>
          </cell>
          <cell r="AC144">
            <v>0</v>
          </cell>
          <cell r="AD144">
            <v>0</v>
          </cell>
          <cell r="AE144">
            <v>9.8855000000000002E-3</v>
          </cell>
          <cell r="AF144">
            <v>0.51130233238996781</v>
          </cell>
          <cell r="AG144">
            <v>0.15761207533453206</v>
          </cell>
          <cell r="AH144">
            <v>0.34961139939807906</v>
          </cell>
          <cell r="AI144">
            <v>0.98855000000000004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1</v>
          </cell>
          <cell r="AQ144">
            <v>0</v>
          </cell>
          <cell r="AR144">
            <v>1</v>
          </cell>
          <cell r="AS144">
            <v>1</v>
          </cell>
          <cell r="AT144">
            <v>1</v>
          </cell>
          <cell r="AU144">
            <v>1</v>
          </cell>
          <cell r="AV144">
            <v>1</v>
          </cell>
          <cell r="AW144">
            <v>1</v>
          </cell>
          <cell r="AX144">
            <v>1</v>
          </cell>
          <cell r="AY144">
            <v>1</v>
          </cell>
          <cell r="AZ144">
            <v>2</v>
          </cell>
          <cell r="BA144">
            <v>3</v>
          </cell>
          <cell r="BB144">
            <v>97</v>
          </cell>
        </row>
        <row r="145">
          <cell r="D145" t="str">
            <v>eo1</v>
          </cell>
          <cell r="Y145">
            <v>65.451895500000006</v>
          </cell>
          <cell r="Z145">
            <v>63.296856499999997</v>
          </cell>
          <cell r="AA145">
            <v>41.271962500000001</v>
          </cell>
          <cell r="AB145">
            <v>37.960320000000003</v>
          </cell>
          <cell r="AC145">
            <v>33.8973795</v>
          </cell>
          <cell r="AD145">
            <v>34.796959999999999</v>
          </cell>
          <cell r="AE145">
            <v>35.993105499999999</v>
          </cell>
          <cell r="AF145">
            <v>32.730890500000001</v>
          </cell>
          <cell r="AG145">
            <v>20.879164549999999</v>
          </cell>
          <cell r="AH145">
            <v>17.98501966666667</v>
          </cell>
          <cell r="AI145">
            <v>17.793900000000001</v>
          </cell>
          <cell r="AJ145">
            <v>19.926600000000001</v>
          </cell>
          <cell r="AK145">
            <v>19.926600000000001</v>
          </cell>
          <cell r="AL145">
            <v>16.084552253999998</v>
          </cell>
          <cell r="AM145">
            <v>9.9633000000000003</v>
          </cell>
          <cell r="AN145">
            <v>41</v>
          </cell>
          <cell r="AO145">
            <v>36</v>
          </cell>
          <cell r="AP145">
            <v>31</v>
          </cell>
          <cell r="AQ145">
            <v>28</v>
          </cell>
          <cell r="AR145">
            <v>22</v>
          </cell>
          <cell r="AS145">
            <v>20</v>
          </cell>
          <cell r="AT145">
            <v>15</v>
          </cell>
          <cell r="AU145">
            <v>11</v>
          </cell>
          <cell r="AV145">
            <v>10</v>
          </cell>
          <cell r="AW145">
            <v>7</v>
          </cell>
          <cell r="AX145">
            <v>6</v>
          </cell>
          <cell r="AY145">
            <v>5</v>
          </cell>
          <cell r="AZ145">
            <v>2</v>
          </cell>
          <cell r="BA145">
            <v>3</v>
          </cell>
          <cell r="BB145">
            <v>98</v>
          </cell>
        </row>
        <row r="146">
          <cell r="D146" t="str">
            <v>eo2-6</v>
          </cell>
          <cell r="Y146">
            <v>45.470043599999997</v>
          </cell>
          <cell r="Z146">
            <v>42.279353099999994</v>
          </cell>
          <cell r="AA146">
            <v>25.201046999999999</v>
          </cell>
          <cell r="AB146">
            <v>18.586921605193432</v>
          </cell>
          <cell r="AC146">
            <v>32.7397293</v>
          </cell>
          <cell r="AD146">
            <v>28.153787699999999</v>
          </cell>
          <cell r="AE146">
            <v>63.521780700000001</v>
          </cell>
          <cell r="AF146">
            <v>9.7883894999999992</v>
          </cell>
          <cell r="AG146">
            <v>28.7270304</v>
          </cell>
          <cell r="AH146">
            <v>39.478678803571427</v>
          </cell>
          <cell r="AI146">
            <v>2.1631800000000001</v>
          </cell>
          <cell r="AJ146">
            <v>0</v>
          </cell>
          <cell r="AK146">
            <v>0</v>
          </cell>
          <cell r="AL146">
            <v>59.001283299999997</v>
          </cell>
          <cell r="AM146">
            <v>0</v>
          </cell>
          <cell r="AN146">
            <v>7</v>
          </cell>
          <cell r="AO146">
            <v>6</v>
          </cell>
          <cell r="AP146">
            <v>5</v>
          </cell>
          <cell r="AQ146">
            <v>5</v>
          </cell>
          <cell r="AR146">
            <v>4</v>
          </cell>
          <cell r="AS146">
            <v>6</v>
          </cell>
          <cell r="AT146">
            <v>4</v>
          </cell>
          <cell r="AU146">
            <v>3</v>
          </cell>
          <cell r="AV146">
            <v>0</v>
          </cell>
          <cell r="AW146">
            <v>0</v>
          </cell>
          <cell r="AX146">
            <v>0</v>
          </cell>
          <cell r="AY146">
            <v>4</v>
          </cell>
          <cell r="AZ146">
            <v>0</v>
          </cell>
          <cell r="BA146">
            <v>6</v>
          </cell>
          <cell r="BB146">
            <v>99</v>
          </cell>
        </row>
        <row r="147">
          <cell r="D147" t="str">
            <v>övriga petroleumprodukter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100</v>
          </cell>
        </row>
        <row r="148">
          <cell r="D148" t="str">
            <v>naturgas</v>
          </cell>
          <cell r="Y148">
            <v>7.3980000000000015</v>
          </cell>
          <cell r="Z148">
            <v>6.2531999999999996</v>
          </cell>
          <cell r="AA148">
            <v>5.6808000000000005</v>
          </cell>
          <cell r="AB148">
            <v>6.2888400000000004</v>
          </cell>
          <cell r="AC148">
            <v>6.9595200000000004</v>
          </cell>
          <cell r="AD148">
            <v>18.33192</v>
          </cell>
          <cell r="AE148">
            <v>26.98272</v>
          </cell>
          <cell r="AF148">
            <v>53.518320000000003</v>
          </cell>
          <cell r="AG148">
            <v>26.157492000000001</v>
          </cell>
          <cell r="AH148">
            <v>29.4592545</v>
          </cell>
          <cell r="AI148">
            <v>19.440000000000001</v>
          </cell>
          <cell r="AJ148">
            <v>19.98</v>
          </cell>
          <cell r="AK148">
            <v>19.8</v>
          </cell>
          <cell r="AL148">
            <v>15.747879825</v>
          </cell>
          <cell r="AM148">
            <v>11.047499999999999</v>
          </cell>
          <cell r="AN148">
            <v>52</v>
          </cell>
          <cell r="AO148">
            <v>49</v>
          </cell>
          <cell r="AP148">
            <v>24</v>
          </cell>
          <cell r="AQ148">
            <v>36</v>
          </cell>
          <cell r="AR148">
            <v>35</v>
          </cell>
          <cell r="AS148">
            <v>24</v>
          </cell>
          <cell r="AT148">
            <v>36</v>
          </cell>
          <cell r="AU148">
            <v>68</v>
          </cell>
          <cell r="AV148">
            <v>22</v>
          </cell>
          <cell r="AW148">
            <v>12</v>
          </cell>
          <cell r="AX148">
            <v>9</v>
          </cell>
          <cell r="AY148">
            <v>2</v>
          </cell>
          <cell r="AZ148">
            <v>8</v>
          </cell>
          <cell r="BA148">
            <v>12</v>
          </cell>
          <cell r="BB148">
            <v>101</v>
          </cell>
        </row>
        <row r="149">
          <cell r="D149" t="str">
            <v>stadsgas</v>
          </cell>
          <cell r="Y149">
            <v>16.505296000000001</v>
          </cell>
          <cell r="Z149">
            <v>1.9073199999999999</v>
          </cell>
          <cell r="AA149">
            <v>1.6886760000000001</v>
          </cell>
          <cell r="AB149">
            <v>0.92760880000000001</v>
          </cell>
          <cell r="AC149">
            <v>0.89062309549579555</v>
          </cell>
          <cell r="AD149">
            <v>1.521204</v>
          </cell>
          <cell r="AE149">
            <v>2.4283440000000001</v>
          </cell>
          <cell r="AF149">
            <v>1.6886679587240059</v>
          </cell>
          <cell r="AG149">
            <v>0</v>
          </cell>
          <cell r="AH149">
            <v>4.1867999999999995E-2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102</v>
          </cell>
        </row>
        <row r="150">
          <cell r="D150" t="str">
            <v>masugnsgas m.m.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103</v>
          </cell>
        </row>
        <row r="151">
          <cell r="D151" t="str">
            <v>övriga bränslen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1.2095199999999999</v>
          </cell>
          <cell r="AH151">
            <v>0.62802000000000002</v>
          </cell>
          <cell r="AI151">
            <v>0</v>
          </cell>
          <cell r="AJ151">
            <v>0.54754040000000004</v>
          </cell>
          <cell r="AK151">
            <v>0</v>
          </cell>
          <cell r="AL151">
            <v>0</v>
          </cell>
          <cell r="AM151">
            <v>8.30382</v>
          </cell>
          <cell r="AN151">
            <v>12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10</v>
          </cell>
          <cell r="BA151">
            <v>0</v>
          </cell>
          <cell r="BB151">
            <v>104</v>
          </cell>
        </row>
        <row r="152">
          <cell r="D152" t="str">
            <v>fjärrvärme</v>
          </cell>
          <cell r="Y152">
            <v>153.78100000000001</v>
          </cell>
          <cell r="Z152">
            <v>131.39930000000001</v>
          </cell>
          <cell r="AA152">
            <v>72.98</v>
          </cell>
          <cell r="AB152">
            <v>98.27058722959876</v>
          </cell>
          <cell r="AC152">
            <v>96.255382919733606</v>
          </cell>
          <cell r="AD152">
            <v>106.15940463736563</v>
          </cell>
          <cell r="AE152">
            <v>123.15858741621753</v>
          </cell>
          <cell r="AF152">
            <v>121.77507064963542</v>
          </cell>
          <cell r="AG152">
            <v>110.0801</v>
          </cell>
          <cell r="AH152">
            <v>107.62557827380951</v>
          </cell>
          <cell r="AI152">
            <v>96.25463306769386</v>
          </cell>
          <cell r="AJ152">
            <v>82.204028320282063</v>
          </cell>
          <cell r="AK152">
            <v>83.618172685934823</v>
          </cell>
          <cell r="AL152">
            <v>114</v>
          </cell>
          <cell r="AM152">
            <v>86.593385507178269</v>
          </cell>
          <cell r="AN152">
            <v>368</v>
          </cell>
          <cell r="AO152">
            <v>343</v>
          </cell>
          <cell r="AP152">
            <v>332</v>
          </cell>
          <cell r="AQ152">
            <v>218</v>
          </cell>
          <cell r="AR152">
            <v>206</v>
          </cell>
          <cell r="AS152">
            <v>220</v>
          </cell>
          <cell r="AT152">
            <v>212</v>
          </cell>
          <cell r="AU152">
            <v>225</v>
          </cell>
          <cell r="AV152">
            <v>184</v>
          </cell>
          <cell r="AW152">
            <v>159</v>
          </cell>
          <cell r="AX152">
            <v>145</v>
          </cell>
          <cell r="AY152">
            <v>128</v>
          </cell>
          <cell r="AZ152">
            <v>130</v>
          </cell>
          <cell r="BA152">
            <v>119</v>
          </cell>
          <cell r="BB152">
            <v>105</v>
          </cell>
        </row>
        <row r="153">
          <cell r="D153" t="str">
            <v>el</v>
          </cell>
          <cell r="Y153">
            <v>698.75199999999995</v>
          </cell>
          <cell r="Z153">
            <v>692.52800000000002</v>
          </cell>
          <cell r="AA153">
            <v>481.19200000000001</v>
          </cell>
          <cell r="AB153">
            <v>479.721</v>
          </cell>
          <cell r="AC153">
            <v>481.19200000000001</v>
          </cell>
          <cell r="AD153">
            <v>515.52300000000002</v>
          </cell>
          <cell r="AE153">
            <v>551.971</v>
          </cell>
          <cell r="AF153">
            <v>543.12093140562865</v>
          </cell>
          <cell r="AG153">
            <v>465.0987988104514</v>
          </cell>
          <cell r="AH153">
            <v>638.17630557405175</v>
          </cell>
          <cell r="AI153">
            <v>546</v>
          </cell>
          <cell r="AJ153">
            <v>562</v>
          </cell>
          <cell r="AK153">
            <v>577</v>
          </cell>
          <cell r="AL153">
            <v>650</v>
          </cell>
          <cell r="AM153">
            <v>494</v>
          </cell>
          <cell r="AN153">
            <v>1693</v>
          </cell>
          <cell r="AO153">
            <v>1664</v>
          </cell>
          <cell r="AP153">
            <v>1582</v>
          </cell>
          <cell r="AQ153">
            <v>1300</v>
          </cell>
          <cell r="AR153">
            <v>1157</v>
          </cell>
          <cell r="AS153">
            <v>1050</v>
          </cell>
          <cell r="AT153">
            <v>1030</v>
          </cell>
          <cell r="AU153">
            <v>1016</v>
          </cell>
          <cell r="AV153">
            <v>842</v>
          </cell>
          <cell r="AW153">
            <v>824</v>
          </cell>
          <cell r="AX153">
            <v>746</v>
          </cell>
          <cell r="AY153">
            <v>919</v>
          </cell>
          <cell r="AZ153">
            <v>887</v>
          </cell>
          <cell r="BA153">
            <v>825</v>
          </cell>
          <cell r="BB153">
            <v>106</v>
          </cell>
        </row>
        <row r="154">
          <cell r="D154" t="str">
            <v>totalt</v>
          </cell>
          <cell r="Y154">
            <v>1034.7363141000001</v>
          </cell>
          <cell r="Z154">
            <v>1020.3533296000001</v>
          </cell>
          <cell r="AA154">
            <v>670.72217150000006</v>
          </cell>
          <cell r="AB154">
            <v>688.76838963479213</v>
          </cell>
          <cell r="AC154">
            <v>711.92101181522935</v>
          </cell>
          <cell r="AD154">
            <v>748.07715659570044</v>
          </cell>
          <cell r="AE154">
            <v>860.99186352617369</v>
          </cell>
          <cell r="AF154">
            <v>820.37635077240498</v>
          </cell>
          <cell r="AG154">
            <v>713.107171035786</v>
          </cell>
          <cell r="AH154">
            <v>890.52586873059272</v>
          </cell>
          <cell r="AI154">
            <v>774.26140306769389</v>
          </cell>
          <cell r="AJ154">
            <v>758.34584872028211</v>
          </cell>
          <cell r="AK154">
            <v>751.51717268593484</v>
          </cell>
          <cell r="AL154">
            <v>913.34039960899997</v>
          </cell>
          <cell r="AM154">
            <v>674.37475960717825</v>
          </cell>
          <cell r="AN154">
            <v>2286</v>
          </cell>
          <cell r="AO154">
            <v>2231</v>
          </cell>
          <cell r="AP154">
            <v>2101</v>
          </cell>
          <cell r="AQ154">
            <v>1700</v>
          </cell>
          <cell r="AR154">
            <v>1501</v>
          </cell>
          <cell r="AS154">
            <v>1390</v>
          </cell>
          <cell r="AT154">
            <v>1361</v>
          </cell>
          <cell r="AU154">
            <v>1376</v>
          </cell>
          <cell r="AV154">
            <v>1109</v>
          </cell>
          <cell r="AW154">
            <v>1061</v>
          </cell>
          <cell r="AX154">
            <v>961</v>
          </cell>
          <cell r="AY154">
            <v>1088</v>
          </cell>
          <cell r="AZ154">
            <v>1065</v>
          </cell>
          <cell r="BA154">
            <v>997</v>
          </cell>
          <cell r="BB154">
            <v>107</v>
          </cell>
        </row>
        <row r="156">
          <cell r="D156" t="str">
            <v>biobränsle</v>
          </cell>
          <cell r="H156">
            <v>502</v>
          </cell>
          <cell r="I156">
            <v>502</v>
          </cell>
          <cell r="J156">
            <v>461</v>
          </cell>
          <cell r="K156">
            <v>378</v>
          </cell>
          <cell r="L156">
            <v>293</v>
          </cell>
          <cell r="M156">
            <v>251</v>
          </cell>
          <cell r="N156">
            <v>795</v>
          </cell>
          <cell r="O156">
            <v>1005</v>
          </cell>
          <cell r="P156">
            <v>544</v>
          </cell>
          <cell r="Q156">
            <v>837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6.5593199999999996</v>
          </cell>
          <cell r="AF156">
            <v>165.07260565672976</v>
          </cell>
          <cell r="AG156">
            <v>239.24073000000001</v>
          </cell>
          <cell r="AH156">
            <v>1450.09104</v>
          </cell>
          <cell r="AI156">
            <v>38.378999999999998</v>
          </cell>
          <cell r="AJ156">
            <v>173.44982000000002</v>
          </cell>
          <cell r="AK156">
            <v>174.45000000000002</v>
          </cell>
          <cell r="AL156">
            <v>154.9440477</v>
          </cell>
          <cell r="AM156">
            <v>182.35840000000002</v>
          </cell>
          <cell r="AN156">
            <v>829</v>
          </cell>
          <cell r="AO156">
            <v>710</v>
          </cell>
          <cell r="AP156">
            <v>1090</v>
          </cell>
          <cell r="AQ156">
            <v>1365</v>
          </cell>
          <cell r="AR156">
            <v>1363</v>
          </cell>
          <cell r="AS156">
            <v>1415</v>
          </cell>
          <cell r="AT156">
            <v>1271</v>
          </cell>
          <cell r="AU156">
            <v>1315</v>
          </cell>
          <cell r="AV156">
            <v>1519</v>
          </cell>
          <cell r="AW156">
            <v>1036</v>
          </cell>
          <cell r="AX156">
            <v>1106</v>
          </cell>
          <cell r="AY156">
            <v>1039</v>
          </cell>
          <cell r="AZ156">
            <v>1400</v>
          </cell>
          <cell r="BA156">
            <v>1299</v>
          </cell>
          <cell r="BB156">
            <v>109</v>
          </cell>
        </row>
        <row r="157">
          <cell r="D157" t="str">
            <v>kol</v>
          </cell>
          <cell r="H157">
            <v>106</v>
          </cell>
          <cell r="I157">
            <v>163</v>
          </cell>
          <cell r="J157">
            <v>163</v>
          </cell>
          <cell r="K157">
            <v>108</v>
          </cell>
          <cell r="L157">
            <v>27</v>
          </cell>
          <cell r="M157">
            <v>0</v>
          </cell>
          <cell r="N157">
            <v>0</v>
          </cell>
          <cell r="O157">
            <v>952</v>
          </cell>
          <cell r="P157">
            <v>1252</v>
          </cell>
          <cell r="Q157">
            <v>1116</v>
          </cell>
          <cell r="Y157">
            <v>0</v>
          </cell>
          <cell r="Z157">
            <v>0</v>
          </cell>
          <cell r="AA157">
            <v>0</v>
          </cell>
          <cell r="AB157">
            <v>1.1566034999999999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11.104905500000001</v>
          </cell>
          <cell r="AI157">
            <v>3.0238</v>
          </cell>
          <cell r="AJ157">
            <v>7.5594999999999999</v>
          </cell>
          <cell r="AK157">
            <v>7.5594999999999999</v>
          </cell>
          <cell r="AL157">
            <v>18.188157</v>
          </cell>
          <cell r="AM157">
            <v>28.869730499999999</v>
          </cell>
          <cell r="AN157">
            <v>19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110</v>
          </cell>
        </row>
        <row r="158">
          <cell r="D158" t="str">
            <v>koks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56</v>
          </cell>
          <cell r="Q158">
            <v>196</v>
          </cell>
          <cell r="Y158">
            <v>59.812159600000001</v>
          </cell>
          <cell r="Z158">
            <v>165.86264059999999</v>
          </cell>
          <cell r="AA158">
            <v>131.30467709999999</v>
          </cell>
          <cell r="AB158">
            <v>188.1402545</v>
          </cell>
          <cell r="AC158">
            <v>174.45528264727659</v>
          </cell>
          <cell r="AD158">
            <v>162.59439606264937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163.63409999999999</v>
          </cell>
          <cell r="AK158">
            <v>171.42619999999999</v>
          </cell>
          <cell r="AL158">
            <v>169.92232469999999</v>
          </cell>
          <cell r="AM158">
            <v>189.93243749999999</v>
          </cell>
          <cell r="AN158">
            <v>0</v>
          </cell>
          <cell r="AO158">
            <v>32</v>
          </cell>
          <cell r="AP158">
            <v>122</v>
          </cell>
          <cell r="AQ158">
            <v>121</v>
          </cell>
          <cell r="AR158">
            <v>18</v>
          </cell>
          <cell r="AS158">
            <v>126</v>
          </cell>
          <cell r="AT158">
            <v>116</v>
          </cell>
          <cell r="AU158">
            <v>49</v>
          </cell>
          <cell r="AV158">
            <v>127</v>
          </cell>
          <cell r="AW158">
            <v>93</v>
          </cell>
          <cell r="AX158">
            <v>669</v>
          </cell>
          <cell r="AY158">
            <v>494</v>
          </cell>
          <cell r="AZ158">
            <v>487</v>
          </cell>
          <cell r="BA158">
            <v>418</v>
          </cell>
          <cell r="BB158">
            <v>111</v>
          </cell>
        </row>
        <row r="159">
          <cell r="D159" t="str">
            <v>gasol</v>
          </cell>
          <cell r="H159">
            <v>92</v>
          </cell>
          <cell r="I159">
            <v>46</v>
          </cell>
          <cell r="J159">
            <v>138</v>
          </cell>
          <cell r="K159">
            <v>46</v>
          </cell>
          <cell r="L159">
            <v>0</v>
          </cell>
          <cell r="M159">
            <v>46</v>
          </cell>
          <cell r="N159">
            <v>46</v>
          </cell>
          <cell r="O159">
            <v>46</v>
          </cell>
          <cell r="P159">
            <v>0</v>
          </cell>
          <cell r="Q159">
            <v>0</v>
          </cell>
          <cell r="Y159">
            <v>5.6033778000000005</v>
          </cell>
          <cell r="Z159">
            <v>25.458069999999999</v>
          </cell>
          <cell r="AA159">
            <v>33.402523000000002</v>
          </cell>
          <cell r="AB159">
            <v>111.401444</v>
          </cell>
          <cell r="AC159">
            <v>117.22225899999999</v>
          </cell>
          <cell r="AD159">
            <v>6.0074710432290237</v>
          </cell>
          <cell r="AE159">
            <v>69.440404000000001</v>
          </cell>
          <cell r="AF159">
            <v>231.45095599999996</v>
          </cell>
          <cell r="AG159">
            <v>208.54508949999999</v>
          </cell>
          <cell r="AH159">
            <v>358.56092469999999</v>
          </cell>
          <cell r="AI159">
            <v>610.22609999999997</v>
          </cell>
          <cell r="AJ159">
            <v>550.09899999999993</v>
          </cell>
          <cell r="AK159">
            <v>486.13780000000003</v>
          </cell>
          <cell r="AL159">
            <v>442.80757030000001</v>
          </cell>
          <cell r="AM159">
            <v>414.96978469999999</v>
          </cell>
          <cell r="AN159">
            <v>1538</v>
          </cell>
          <cell r="AO159">
            <v>886</v>
          </cell>
          <cell r="AP159">
            <v>857</v>
          </cell>
          <cell r="AQ159">
            <v>1087</v>
          </cell>
          <cell r="AR159">
            <v>1139</v>
          </cell>
          <cell r="AS159">
            <v>573</v>
          </cell>
          <cell r="AT159">
            <v>717</v>
          </cell>
          <cell r="AU159">
            <v>702</v>
          </cell>
          <cell r="AV159">
            <v>575</v>
          </cell>
          <cell r="AW159">
            <v>633</v>
          </cell>
          <cell r="AX159">
            <v>1081</v>
          </cell>
          <cell r="AY159">
            <v>624</v>
          </cell>
          <cell r="AZ159">
            <v>803</v>
          </cell>
          <cell r="BA159">
            <v>926</v>
          </cell>
          <cell r="BB159">
            <v>112</v>
          </cell>
        </row>
        <row r="160">
          <cell r="D160" t="str">
            <v>bensin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1</v>
          </cell>
          <cell r="AQ160">
            <v>1</v>
          </cell>
          <cell r="AR160">
            <v>2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113</v>
          </cell>
        </row>
        <row r="161">
          <cell r="D161" t="str">
            <v>lättoljor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114</v>
          </cell>
        </row>
        <row r="162">
          <cell r="D162" t="str">
            <v>diesel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Y162">
            <v>5.5853074999999999</v>
          </cell>
          <cell r="Z162">
            <v>3.3314135000000005</v>
          </cell>
          <cell r="AA162">
            <v>11.6550045</v>
          </cell>
          <cell r="AB162">
            <v>12.485386499999999</v>
          </cell>
          <cell r="AC162">
            <v>3.5884365000000003</v>
          </cell>
          <cell r="AD162">
            <v>6.4453460000000007</v>
          </cell>
          <cell r="AE162">
            <v>4.3100779999999999</v>
          </cell>
          <cell r="AF162">
            <v>0.49683151166194989</v>
          </cell>
          <cell r="AG162">
            <v>3.2622150000000003</v>
          </cell>
          <cell r="AH162">
            <v>2.0667488153306759</v>
          </cell>
          <cell r="AI162">
            <v>3.9542000000000002</v>
          </cell>
          <cell r="AJ162">
            <v>0</v>
          </cell>
          <cell r="AK162">
            <v>0</v>
          </cell>
          <cell r="AL162">
            <v>0.16439445000000003</v>
          </cell>
          <cell r="AM162">
            <v>0.64761450000000009</v>
          </cell>
          <cell r="AN162">
            <v>2</v>
          </cell>
          <cell r="AO162">
            <v>4</v>
          </cell>
          <cell r="AP162">
            <v>1</v>
          </cell>
          <cell r="AQ162">
            <v>5</v>
          </cell>
          <cell r="AR162">
            <v>22</v>
          </cell>
          <cell r="AS162">
            <v>8</v>
          </cell>
          <cell r="AT162">
            <v>7</v>
          </cell>
          <cell r="AU162">
            <v>18</v>
          </cell>
          <cell r="AV162">
            <v>9</v>
          </cell>
          <cell r="AW162">
            <v>19</v>
          </cell>
          <cell r="AX162">
            <v>10</v>
          </cell>
          <cell r="AY162">
            <v>31</v>
          </cell>
          <cell r="AZ162">
            <v>33</v>
          </cell>
          <cell r="BA162">
            <v>42</v>
          </cell>
          <cell r="BB162">
            <v>115</v>
          </cell>
        </row>
        <row r="163">
          <cell r="D163" t="str">
            <v>eo1</v>
          </cell>
          <cell r="H163">
            <v>2135</v>
          </cell>
          <cell r="I163">
            <v>1851</v>
          </cell>
          <cell r="J163">
            <v>1851</v>
          </cell>
          <cell r="K163">
            <v>2314</v>
          </cell>
          <cell r="L163">
            <v>2135</v>
          </cell>
          <cell r="M163">
            <v>2171</v>
          </cell>
          <cell r="N163">
            <v>2349</v>
          </cell>
          <cell r="O163">
            <v>1530</v>
          </cell>
          <cell r="P163">
            <v>1388</v>
          </cell>
          <cell r="Q163">
            <v>1317</v>
          </cell>
          <cell r="Y163">
            <v>57.80051850000001</v>
          </cell>
          <cell r="Z163">
            <v>61.112161000000008</v>
          </cell>
          <cell r="AA163">
            <v>87.081369499999994</v>
          </cell>
          <cell r="AB163">
            <v>105.39920100000002</v>
          </cell>
          <cell r="AC163">
            <v>85.38106350000001</v>
          </cell>
          <cell r="AD163">
            <v>64.641284499999998</v>
          </cell>
          <cell r="AE163">
            <v>57.2073885</v>
          </cell>
          <cell r="AF163">
            <v>189.58411900000002</v>
          </cell>
          <cell r="AG163">
            <v>136.46932749999999</v>
          </cell>
          <cell r="AH163">
            <v>65.306296207142864</v>
          </cell>
          <cell r="AI163">
            <v>50.416049999999998</v>
          </cell>
          <cell r="AJ163">
            <v>89.669700000000006</v>
          </cell>
          <cell r="AK163">
            <v>79.706400000000002</v>
          </cell>
          <cell r="AL163">
            <v>90.538898291999999</v>
          </cell>
          <cell r="AM163">
            <v>99.63300000000001</v>
          </cell>
          <cell r="AN163">
            <v>721</v>
          </cell>
          <cell r="AO163">
            <v>647</v>
          </cell>
          <cell r="AP163">
            <v>501</v>
          </cell>
          <cell r="AQ163">
            <v>463</v>
          </cell>
          <cell r="AR163">
            <v>416</v>
          </cell>
          <cell r="AS163">
            <v>663</v>
          </cell>
          <cell r="AT163">
            <v>681</v>
          </cell>
          <cell r="AU163">
            <v>650</v>
          </cell>
          <cell r="AV163">
            <v>571</v>
          </cell>
          <cell r="AW163">
            <v>488</v>
          </cell>
          <cell r="AX163">
            <v>447</v>
          </cell>
          <cell r="AY163">
            <v>328</v>
          </cell>
          <cell r="AZ163">
            <v>307</v>
          </cell>
          <cell r="BA163">
            <v>212</v>
          </cell>
          <cell r="BB163">
            <v>116</v>
          </cell>
        </row>
        <row r="164">
          <cell r="D164" t="str">
            <v>eo2-6</v>
          </cell>
          <cell r="H164">
            <v>17483</v>
          </cell>
          <cell r="I164">
            <v>18884</v>
          </cell>
          <cell r="J164">
            <v>18261</v>
          </cell>
          <cell r="K164">
            <v>18416</v>
          </cell>
          <cell r="L164">
            <v>18417</v>
          </cell>
          <cell r="M164">
            <v>18378</v>
          </cell>
          <cell r="N164">
            <v>16899</v>
          </cell>
          <cell r="O164">
            <v>17639</v>
          </cell>
          <cell r="P164">
            <v>16003</v>
          </cell>
          <cell r="Q164">
            <v>13823</v>
          </cell>
          <cell r="Y164">
            <v>352.40365379999997</v>
          </cell>
          <cell r="Z164">
            <v>274.63733279999997</v>
          </cell>
          <cell r="AA164">
            <v>220.64435999999998</v>
          </cell>
          <cell r="AB164">
            <v>254.396203756158</v>
          </cell>
          <cell r="AC164">
            <v>364.93928189999997</v>
          </cell>
          <cell r="AD164">
            <v>338.82969930000002</v>
          </cell>
          <cell r="AE164">
            <v>397.4735091</v>
          </cell>
          <cell r="AF164">
            <v>586.78420679999999</v>
          </cell>
          <cell r="AG164">
            <v>432.97129289999998</v>
          </cell>
          <cell r="AH164">
            <v>480.93169747499996</v>
          </cell>
          <cell r="AI164">
            <v>358.00628999999998</v>
          </cell>
          <cell r="AJ164">
            <v>285.96780000000001</v>
          </cell>
          <cell r="AK164">
            <v>370.69900000000001</v>
          </cell>
          <cell r="AL164">
            <v>898.30091450000009</v>
          </cell>
          <cell r="AM164">
            <v>560.899</v>
          </cell>
          <cell r="AN164">
            <v>1132</v>
          </cell>
          <cell r="AO164">
            <v>1069</v>
          </cell>
          <cell r="AP164">
            <v>927</v>
          </cell>
          <cell r="AQ164">
            <v>638</v>
          </cell>
          <cell r="AR164">
            <v>836</v>
          </cell>
          <cell r="AS164">
            <v>697</v>
          </cell>
          <cell r="AT164">
            <v>611</v>
          </cell>
          <cell r="AU164">
            <v>574</v>
          </cell>
          <cell r="AV164">
            <v>411</v>
          </cell>
          <cell r="AW164">
            <v>280</v>
          </cell>
          <cell r="AX164">
            <v>400</v>
          </cell>
          <cell r="AY164">
            <v>293</v>
          </cell>
          <cell r="AZ164">
            <v>146</v>
          </cell>
          <cell r="BA164">
            <v>207</v>
          </cell>
          <cell r="BB164">
            <v>117</v>
          </cell>
        </row>
        <row r="165">
          <cell r="D165" t="str">
            <v>övriga petroleumprodukter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87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310</v>
          </cell>
          <cell r="AZ165">
            <v>313</v>
          </cell>
          <cell r="BA165">
            <v>319</v>
          </cell>
          <cell r="BB165">
            <v>118</v>
          </cell>
        </row>
        <row r="166">
          <cell r="D166" t="str">
            <v>naturgas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Y166">
            <v>553.16520000000003</v>
          </cell>
          <cell r="Z166">
            <v>471.20400000000006</v>
          </cell>
          <cell r="AA166">
            <v>124.68600000000001</v>
          </cell>
          <cell r="AB166">
            <v>251.49528000000001</v>
          </cell>
          <cell r="AC166">
            <v>436.14612000000005</v>
          </cell>
          <cell r="AD166">
            <v>441.22968000000003</v>
          </cell>
          <cell r="AE166">
            <v>327.92364000000003</v>
          </cell>
          <cell r="AF166">
            <v>222.27696</v>
          </cell>
          <cell r="AG166">
            <v>221.14944</v>
          </cell>
          <cell r="AH166">
            <v>203.19951600000002</v>
          </cell>
          <cell r="AI166">
            <v>590.976</v>
          </cell>
          <cell r="AJ166">
            <v>579.41999999999996</v>
          </cell>
          <cell r="AK166">
            <v>693</v>
          </cell>
          <cell r="AL166">
            <v>702.16562204999991</v>
          </cell>
          <cell r="AM166">
            <v>1226.2725</v>
          </cell>
          <cell r="AN166">
            <v>1957</v>
          </cell>
          <cell r="AO166">
            <v>3163</v>
          </cell>
          <cell r="AP166">
            <v>3221</v>
          </cell>
          <cell r="AQ166">
            <v>3250</v>
          </cell>
          <cell r="AR166">
            <v>3131</v>
          </cell>
          <cell r="AS166">
            <v>3837</v>
          </cell>
          <cell r="AT166">
            <v>4138</v>
          </cell>
          <cell r="AU166">
            <v>4137</v>
          </cell>
          <cell r="AV166">
            <v>3621</v>
          </cell>
          <cell r="AW166">
            <v>3683</v>
          </cell>
          <cell r="AX166">
            <v>3110</v>
          </cell>
          <cell r="AY166">
            <v>3246</v>
          </cell>
          <cell r="AZ166">
            <v>3119</v>
          </cell>
          <cell r="BA166">
            <v>2765</v>
          </cell>
          <cell r="BB166">
            <v>119</v>
          </cell>
        </row>
        <row r="167">
          <cell r="D167" t="str">
            <v>stadsgas</v>
          </cell>
          <cell r="H167">
            <v>17</v>
          </cell>
          <cell r="I167">
            <v>17</v>
          </cell>
          <cell r="J167">
            <v>17</v>
          </cell>
          <cell r="K167">
            <v>0</v>
          </cell>
          <cell r="L167">
            <v>0</v>
          </cell>
          <cell r="M167">
            <v>50</v>
          </cell>
          <cell r="N167">
            <v>0</v>
          </cell>
          <cell r="O167">
            <v>33</v>
          </cell>
          <cell r="P167">
            <v>33</v>
          </cell>
          <cell r="Q167">
            <v>17</v>
          </cell>
          <cell r="Y167">
            <v>0</v>
          </cell>
          <cell r="Z167">
            <v>0</v>
          </cell>
          <cell r="AA167">
            <v>9.3039999999999998E-3</v>
          </cell>
          <cell r="AB167">
            <v>0</v>
          </cell>
          <cell r="AC167">
            <v>0.21399200000000002</v>
          </cell>
          <cell r="AD167">
            <v>4.6519999999999999E-3</v>
          </cell>
          <cell r="AE167">
            <v>4.6519999999999999E-3</v>
          </cell>
          <cell r="AF167">
            <v>0.13597066680634856</v>
          </cell>
          <cell r="AG167">
            <v>0</v>
          </cell>
          <cell r="AH167">
            <v>1.8608E-2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120</v>
          </cell>
        </row>
        <row r="168">
          <cell r="D168" t="str">
            <v>masugnsgas m.m.</v>
          </cell>
          <cell r="H168">
            <v>37</v>
          </cell>
          <cell r="I168">
            <v>37</v>
          </cell>
          <cell r="J168">
            <v>37</v>
          </cell>
          <cell r="K168">
            <v>41</v>
          </cell>
          <cell r="L168">
            <v>37</v>
          </cell>
          <cell r="M168">
            <v>37</v>
          </cell>
          <cell r="N168">
            <v>37</v>
          </cell>
          <cell r="O168">
            <v>37</v>
          </cell>
          <cell r="P168">
            <v>27</v>
          </cell>
          <cell r="Q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1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121</v>
          </cell>
        </row>
        <row r="169">
          <cell r="D169" t="str">
            <v>övriga bränslen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426.27439000000004</v>
          </cell>
          <cell r="AH169">
            <v>1.9538400000000002</v>
          </cell>
          <cell r="AI169">
            <v>17.445</v>
          </cell>
          <cell r="AJ169">
            <v>69.109204860000006</v>
          </cell>
          <cell r="AK169">
            <v>70.532228400000008</v>
          </cell>
          <cell r="AL169">
            <v>69.676260400000004</v>
          </cell>
          <cell r="AM169">
            <v>90.051090000000002</v>
          </cell>
          <cell r="AN169">
            <v>16798</v>
          </cell>
          <cell r="AO169">
            <v>17211</v>
          </cell>
          <cell r="AP169">
            <v>18887</v>
          </cell>
          <cell r="AQ169">
            <v>17282</v>
          </cell>
          <cell r="AR169">
            <v>12345</v>
          </cell>
          <cell r="AS169">
            <v>13042</v>
          </cell>
          <cell r="AT169">
            <v>12845</v>
          </cell>
          <cell r="AU169">
            <v>11493</v>
          </cell>
          <cell r="AV169">
            <v>16913</v>
          </cell>
          <cell r="AW169">
            <v>16281</v>
          </cell>
          <cell r="AX169">
            <v>14523</v>
          </cell>
          <cell r="AY169">
            <v>18409</v>
          </cell>
          <cell r="AZ169">
            <v>17801</v>
          </cell>
          <cell r="BA169">
            <v>17499</v>
          </cell>
          <cell r="BB169">
            <v>122</v>
          </cell>
        </row>
        <row r="170">
          <cell r="D170" t="str">
            <v>fjärrvärme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Y170">
            <v>449.803</v>
          </cell>
          <cell r="Z170">
            <v>397.887</v>
          </cell>
          <cell r="AA170">
            <v>431.8</v>
          </cell>
          <cell r="AB170">
            <v>353.56763005713572</v>
          </cell>
          <cell r="AC170">
            <v>296.2</v>
          </cell>
          <cell r="AD170">
            <v>299.3621510290306</v>
          </cell>
          <cell r="AE170">
            <v>320.14770142143914</v>
          </cell>
          <cell r="AF170">
            <v>192.64685927252251</v>
          </cell>
          <cell r="AG170">
            <v>6.3498999999999999</v>
          </cell>
          <cell r="AH170">
            <v>7.8718642857142846</v>
          </cell>
          <cell r="AI170">
            <v>154.14926365481367</v>
          </cell>
          <cell r="AJ170">
            <v>13.963178465518688</v>
          </cell>
          <cell r="AK170">
            <v>14.203385065573411</v>
          </cell>
          <cell r="AL170">
            <v>61</v>
          </cell>
          <cell r="AM170">
            <v>24</v>
          </cell>
          <cell r="AN170">
            <v>1022</v>
          </cell>
          <cell r="AO170">
            <v>600</v>
          </cell>
          <cell r="AP170">
            <v>622</v>
          </cell>
          <cell r="AQ170">
            <v>529</v>
          </cell>
          <cell r="AR170">
            <v>415</v>
          </cell>
          <cell r="AS170">
            <v>449</v>
          </cell>
          <cell r="AT170">
            <v>352</v>
          </cell>
          <cell r="AU170">
            <v>361</v>
          </cell>
          <cell r="AV170">
            <v>368</v>
          </cell>
          <cell r="AW170">
            <v>358</v>
          </cell>
          <cell r="AX170">
            <v>371</v>
          </cell>
          <cell r="AY170">
            <v>352</v>
          </cell>
          <cell r="AZ170">
            <v>359</v>
          </cell>
          <cell r="BA170">
            <v>387</v>
          </cell>
          <cell r="BB170">
            <v>123</v>
          </cell>
        </row>
        <row r="171">
          <cell r="D171" t="str">
            <v>el</v>
          </cell>
          <cell r="H171">
            <v>19321</v>
          </cell>
          <cell r="I171">
            <v>19847</v>
          </cell>
          <cell r="J171">
            <v>19134</v>
          </cell>
          <cell r="K171">
            <v>19357</v>
          </cell>
          <cell r="L171">
            <v>17906</v>
          </cell>
          <cell r="M171">
            <v>17975</v>
          </cell>
          <cell r="N171">
            <v>18403</v>
          </cell>
          <cell r="O171">
            <v>18302</v>
          </cell>
          <cell r="P171">
            <v>17564</v>
          </cell>
          <cell r="Q171">
            <v>17514</v>
          </cell>
          <cell r="Y171">
            <v>4960.7209999999995</v>
          </cell>
          <cell r="Z171">
            <v>4116.5209999999997</v>
          </cell>
          <cell r="AA171">
            <v>4022.011</v>
          </cell>
          <cell r="AB171">
            <v>4007.212</v>
          </cell>
          <cell r="AC171">
            <v>4059.2979999999998</v>
          </cell>
          <cell r="AD171">
            <v>3938.3890000000001</v>
          </cell>
          <cell r="AE171">
            <v>3831.5970000000002</v>
          </cell>
          <cell r="AF171">
            <v>3782.6924212086133</v>
          </cell>
          <cell r="AG171">
            <v>4036.58</v>
          </cell>
          <cell r="AH171">
            <v>4239.9300106808405</v>
          </cell>
          <cell r="AI171">
            <v>4451</v>
          </cell>
          <cell r="AJ171">
            <v>4755</v>
          </cell>
          <cell r="AK171">
            <v>4776</v>
          </cell>
          <cell r="AL171">
            <v>4894</v>
          </cell>
          <cell r="AM171">
            <v>4794</v>
          </cell>
          <cell r="AN171">
            <v>17343</v>
          </cell>
          <cell r="AO171">
            <v>16910</v>
          </cell>
          <cell r="AP171">
            <v>16771</v>
          </cell>
          <cell r="AQ171">
            <v>16149</v>
          </cell>
          <cell r="AR171">
            <v>14584</v>
          </cell>
          <cell r="AS171">
            <v>15893</v>
          </cell>
          <cell r="AT171">
            <v>15186</v>
          </cell>
          <cell r="AU171">
            <v>15213</v>
          </cell>
          <cell r="AV171">
            <v>15274</v>
          </cell>
          <cell r="AW171">
            <v>14874</v>
          </cell>
          <cell r="AX171">
            <v>14557</v>
          </cell>
          <cell r="AY171">
            <v>15294</v>
          </cell>
          <cell r="AZ171">
            <v>15429</v>
          </cell>
          <cell r="BA171">
            <v>14401</v>
          </cell>
          <cell r="BB171">
            <v>124</v>
          </cell>
        </row>
        <row r="172">
          <cell r="D172" t="str">
            <v>totalt</v>
          </cell>
          <cell r="Y172">
            <v>6444.8942171999997</v>
          </cell>
          <cell r="Z172">
            <v>5516.0136179000001</v>
          </cell>
          <cell r="AA172">
            <v>5062.5942381000004</v>
          </cell>
          <cell r="AB172">
            <v>5285.2540033132937</v>
          </cell>
          <cell r="AC172">
            <v>5537.444435547277</v>
          </cell>
          <cell r="AD172">
            <v>5257.5036799349091</v>
          </cell>
          <cell r="AE172">
            <v>5014.663693021439</v>
          </cell>
          <cell r="AF172">
            <v>5371.1409301163339</v>
          </cell>
          <cell r="AG172">
            <v>5710.8423848999992</v>
          </cell>
          <cell r="AH172">
            <v>6821.0354516640282</v>
          </cell>
          <cell r="AI172">
            <v>6277.5757036548139</v>
          </cell>
          <cell r="AJ172">
            <v>6687.8723033255183</v>
          </cell>
          <cell r="AK172">
            <v>6843.7145134655739</v>
          </cell>
          <cell r="AL172">
            <v>7501.7081893920003</v>
          </cell>
          <cell r="AM172">
            <v>7611.6335571999998</v>
          </cell>
          <cell r="AN172">
            <v>41448</v>
          </cell>
          <cell r="AO172">
            <v>41233</v>
          </cell>
          <cell r="AP172">
            <v>43000</v>
          </cell>
          <cell r="AQ172">
            <v>40890</v>
          </cell>
          <cell r="AR172">
            <v>34271</v>
          </cell>
          <cell r="AS172">
            <v>36703</v>
          </cell>
          <cell r="AT172">
            <v>35924</v>
          </cell>
          <cell r="AU172">
            <v>34512</v>
          </cell>
          <cell r="AV172">
            <v>39388</v>
          </cell>
          <cell r="AW172">
            <v>37745</v>
          </cell>
          <cell r="AX172">
            <v>36274</v>
          </cell>
          <cell r="AY172">
            <v>40420</v>
          </cell>
          <cell r="AZ172">
            <v>40198</v>
          </cell>
          <cell r="BA172">
            <v>38475</v>
          </cell>
          <cell r="BB172">
            <v>125</v>
          </cell>
        </row>
        <row r="174">
          <cell r="D174" t="str">
            <v>biobränsle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1.6747200000000002</v>
          </cell>
          <cell r="AF174">
            <v>8.5024343270242025E-2</v>
          </cell>
          <cell r="AG174">
            <v>0.45356999999999659</v>
          </cell>
          <cell r="AH174">
            <v>0</v>
          </cell>
          <cell r="AI174">
            <v>0</v>
          </cell>
          <cell r="AJ174">
            <v>0.2334955100000066</v>
          </cell>
          <cell r="AK174">
            <v>0</v>
          </cell>
          <cell r="AL174">
            <v>0.2698160000000116</v>
          </cell>
          <cell r="AM174">
            <v>6.9780000000002645E-2</v>
          </cell>
          <cell r="AN174">
            <v>1</v>
          </cell>
          <cell r="AO174">
            <v>0</v>
          </cell>
          <cell r="AP174">
            <v>0</v>
          </cell>
          <cell r="AQ174">
            <v>23</v>
          </cell>
          <cell r="AR174">
            <v>0</v>
          </cell>
          <cell r="AS174">
            <v>0</v>
          </cell>
          <cell r="AT174">
            <v>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22</v>
          </cell>
          <cell r="BA174">
            <v>22</v>
          </cell>
          <cell r="BB174">
            <v>127</v>
          </cell>
        </row>
        <row r="175">
          <cell r="D175" t="str">
            <v>kol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0.60475999999999996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128</v>
          </cell>
        </row>
        <row r="176">
          <cell r="D176" t="str">
            <v>koks</v>
          </cell>
          <cell r="Y176">
            <v>3.1168399999996564E-2</v>
          </cell>
          <cell r="Z176">
            <v>0.17142619999998804</v>
          </cell>
          <cell r="AA176">
            <v>0</v>
          </cell>
          <cell r="AB176">
            <v>2.3298378999999958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129</v>
          </cell>
        </row>
        <row r="177">
          <cell r="D177" t="str">
            <v>gasol</v>
          </cell>
          <cell r="Y177">
            <v>34.9635423</v>
          </cell>
          <cell r="Z177">
            <v>118.488766</v>
          </cell>
          <cell r="AA177">
            <v>96.58714999999998</v>
          </cell>
          <cell r="AB177">
            <v>4.2088970000000074</v>
          </cell>
          <cell r="AC177">
            <v>4.2984480000000032</v>
          </cell>
          <cell r="AD177">
            <v>3.5488999567709762</v>
          </cell>
          <cell r="AE177">
            <v>1.0874049999999995</v>
          </cell>
          <cell r="AF177">
            <v>16.426212000000032</v>
          </cell>
          <cell r="AG177">
            <v>7.9892284999999692</v>
          </cell>
          <cell r="AH177">
            <v>9.18665329999995</v>
          </cell>
          <cell r="AI177">
            <v>20.468799999999927</v>
          </cell>
          <cell r="AJ177">
            <v>25.585999999999999</v>
          </cell>
          <cell r="AK177">
            <v>12.793100000000001</v>
          </cell>
          <cell r="AL177">
            <v>20.653692364000026</v>
          </cell>
          <cell r="AM177">
            <v>15.40289240000001</v>
          </cell>
          <cell r="AN177">
            <v>4</v>
          </cell>
          <cell r="AO177">
            <v>4</v>
          </cell>
          <cell r="AP177">
            <v>4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130</v>
          </cell>
        </row>
        <row r="178">
          <cell r="D178" t="str">
            <v>bensin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1</v>
          </cell>
          <cell r="AZ178">
            <v>1</v>
          </cell>
          <cell r="BA178">
            <v>0</v>
          </cell>
          <cell r="BB178">
            <v>131</v>
          </cell>
        </row>
        <row r="179">
          <cell r="D179" t="str">
            <v>lättoljor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132</v>
          </cell>
        </row>
        <row r="180">
          <cell r="D180" t="str">
            <v>diesel</v>
          </cell>
          <cell r="Y180">
            <v>0.91935150000000088</v>
          </cell>
          <cell r="Z180">
            <v>0.5041604999999999</v>
          </cell>
          <cell r="AA180">
            <v>0.55358800000000052</v>
          </cell>
          <cell r="AB180">
            <v>3.5587800000000009</v>
          </cell>
          <cell r="AC180">
            <v>1.0379775000000004</v>
          </cell>
          <cell r="AD180">
            <v>0.48438949999999936</v>
          </cell>
          <cell r="AE180">
            <v>9.8855000000000089E-3</v>
          </cell>
          <cell r="AF180">
            <v>0</v>
          </cell>
          <cell r="AG180">
            <v>1.4828249999999998</v>
          </cell>
          <cell r="AH180">
            <v>3.0539401846693242</v>
          </cell>
          <cell r="AI180">
            <v>1.9770999999999996</v>
          </cell>
          <cell r="AJ180">
            <v>9.9633000000000003</v>
          </cell>
          <cell r="AK180">
            <v>0</v>
          </cell>
          <cell r="AL180">
            <v>2.4190892399999995</v>
          </cell>
          <cell r="AM180">
            <v>6.9743099999999919E-2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133</v>
          </cell>
        </row>
        <row r="181">
          <cell r="D181" t="str">
            <v>eo1</v>
          </cell>
          <cell r="Y181">
            <v>95.721296500000008</v>
          </cell>
          <cell r="Z181">
            <v>109.472027</v>
          </cell>
          <cell r="AA181">
            <v>105.65622400000001</v>
          </cell>
          <cell r="AB181">
            <v>86.409155499999983</v>
          </cell>
          <cell r="AC181">
            <v>101.85030650000002</v>
          </cell>
          <cell r="AD181">
            <v>237.84513000000004</v>
          </cell>
          <cell r="AE181">
            <v>187.64656099999999</v>
          </cell>
          <cell r="AF181">
            <v>95.8399225</v>
          </cell>
          <cell r="AG181">
            <v>54.182425500000015</v>
          </cell>
          <cell r="AH181">
            <v>134.40057479285716</v>
          </cell>
          <cell r="AI181">
            <v>126.53439999999999</v>
          </cell>
          <cell r="AJ181">
            <v>119.5596</v>
          </cell>
          <cell r="AK181">
            <v>69.743099999999998</v>
          </cell>
          <cell r="AL181">
            <v>152.64403287900001</v>
          </cell>
          <cell r="AM181">
            <v>179.33940000000001</v>
          </cell>
          <cell r="AN181">
            <v>74</v>
          </cell>
          <cell r="AO181">
            <v>217</v>
          </cell>
          <cell r="AP181">
            <v>186</v>
          </cell>
          <cell r="AQ181">
            <v>189</v>
          </cell>
          <cell r="AR181">
            <v>237</v>
          </cell>
          <cell r="AS181">
            <v>280</v>
          </cell>
          <cell r="AT181">
            <v>171</v>
          </cell>
          <cell r="AU181">
            <v>116</v>
          </cell>
          <cell r="AV181">
            <v>103</v>
          </cell>
          <cell r="AW181">
            <v>100</v>
          </cell>
          <cell r="AX181">
            <v>47</v>
          </cell>
          <cell r="AY181">
            <v>20</v>
          </cell>
          <cell r="AZ181">
            <v>8</v>
          </cell>
          <cell r="BA181">
            <v>54</v>
          </cell>
          <cell r="BB181">
            <v>134</v>
          </cell>
        </row>
        <row r="182">
          <cell r="D182" t="str">
            <v>eo2-6</v>
          </cell>
          <cell r="Y182">
            <v>290.16896519999995</v>
          </cell>
          <cell r="Z182">
            <v>205.88065649999999</v>
          </cell>
          <cell r="AA182">
            <v>239.57218499999996</v>
          </cell>
          <cell r="AB182">
            <v>217.068877243842</v>
          </cell>
          <cell r="AC182">
            <v>301.29852629999999</v>
          </cell>
          <cell r="AD182">
            <v>262.16660009999998</v>
          </cell>
          <cell r="AE182">
            <v>368.64913559999991</v>
          </cell>
          <cell r="AF182">
            <v>368.98442849999998</v>
          </cell>
          <cell r="AG182">
            <v>483.7411275</v>
          </cell>
          <cell r="AH182">
            <v>430.35114112500003</v>
          </cell>
          <cell r="AI182">
            <v>377.47490999999997</v>
          </cell>
          <cell r="AJ182">
            <v>370.69900000000001</v>
          </cell>
          <cell r="AK182">
            <v>423.65600000000001</v>
          </cell>
          <cell r="AL182">
            <v>144.75427399999998</v>
          </cell>
          <cell r="AM182">
            <v>116.413</v>
          </cell>
          <cell r="AN182">
            <v>144</v>
          </cell>
          <cell r="AO182">
            <v>103</v>
          </cell>
          <cell r="AP182">
            <v>84</v>
          </cell>
          <cell r="AQ182">
            <v>108</v>
          </cell>
          <cell r="AR182">
            <v>82</v>
          </cell>
          <cell r="AS182">
            <v>65</v>
          </cell>
          <cell r="AT182">
            <v>38</v>
          </cell>
          <cell r="AU182">
            <v>54</v>
          </cell>
          <cell r="AV182">
            <v>70</v>
          </cell>
          <cell r="AW182">
            <v>76</v>
          </cell>
          <cell r="AX182">
            <v>57</v>
          </cell>
          <cell r="AY182">
            <v>61</v>
          </cell>
          <cell r="AZ182">
            <v>52</v>
          </cell>
          <cell r="BA182">
            <v>1</v>
          </cell>
          <cell r="BB182">
            <v>135</v>
          </cell>
        </row>
        <row r="183">
          <cell r="D183" t="str">
            <v>övriga petroleumprodukter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136</v>
          </cell>
        </row>
        <row r="184">
          <cell r="D184" t="str">
            <v>naturgas</v>
          </cell>
          <cell r="Y184">
            <v>86.821200000000019</v>
          </cell>
          <cell r="Z184">
            <v>90.80639999999994</v>
          </cell>
          <cell r="AA184">
            <v>97.718400000000003</v>
          </cell>
          <cell r="AB184">
            <v>95.110200000000006</v>
          </cell>
          <cell r="AC184">
            <v>88.442279999999968</v>
          </cell>
          <cell r="AD184">
            <v>101.66148000000004</v>
          </cell>
          <cell r="AE184">
            <v>124.70759999999999</v>
          </cell>
          <cell r="AF184">
            <v>160.68132000000003</v>
          </cell>
          <cell r="AG184">
            <v>140.94972000000001</v>
          </cell>
          <cell r="AH184">
            <v>154.50620400000003</v>
          </cell>
          <cell r="AI184">
            <v>137.05200000000008</v>
          </cell>
          <cell r="AJ184">
            <v>79.92</v>
          </cell>
          <cell r="AK184">
            <v>99</v>
          </cell>
          <cell r="AL184">
            <v>161.03918655000007</v>
          </cell>
          <cell r="AM184">
            <v>176.76</v>
          </cell>
          <cell r="AN184">
            <v>77</v>
          </cell>
          <cell r="AO184">
            <v>83</v>
          </cell>
          <cell r="AP184">
            <v>88</v>
          </cell>
          <cell r="AQ184">
            <v>125</v>
          </cell>
          <cell r="AR184">
            <v>126</v>
          </cell>
          <cell r="AS184">
            <v>141</v>
          </cell>
          <cell r="AT184">
            <v>130</v>
          </cell>
          <cell r="AU184">
            <v>134</v>
          </cell>
          <cell r="AV184">
            <v>119</v>
          </cell>
          <cell r="AW184">
            <v>102</v>
          </cell>
          <cell r="AX184">
            <v>93</v>
          </cell>
          <cell r="AY184">
            <v>71</v>
          </cell>
          <cell r="AZ184">
            <v>53</v>
          </cell>
          <cell r="BA184">
            <v>43</v>
          </cell>
          <cell r="BB184">
            <v>137</v>
          </cell>
        </row>
        <row r="185">
          <cell r="D185" t="str">
            <v>stadsgas</v>
          </cell>
          <cell r="Y185">
            <v>3.2564000000000003E-2</v>
          </cell>
          <cell r="Z185">
            <v>0.66523599999999994</v>
          </cell>
          <cell r="AA185">
            <v>0.20934</v>
          </cell>
          <cell r="AB185">
            <v>0.22329600000000002</v>
          </cell>
          <cell r="AC185">
            <v>0</v>
          </cell>
          <cell r="AD185">
            <v>1.8049760000000001</v>
          </cell>
          <cell r="AE185">
            <v>3.6285600000000002</v>
          </cell>
          <cell r="AF185">
            <v>40.207842019799905</v>
          </cell>
          <cell r="AG185">
            <v>35.428701600000004</v>
          </cell>
          <cell r="AH185">
            <v>35.071428000000004</v>
          </cell>
          <cell r="AI185">
            <v>30.703199999999999</v>
          </cell>
          <cell r="AJ185">
            <v>27.911999999999999</v>
          </cell>
          <cell r="AK185">
            <v>27.911999999999999</v>
          </cell>
          <cell r="AL185">
            <v>30.612951199999998</v>
          </cell>
          <cell r="AM185">
            <v>23.26</v>
          </cell>
          <cell r="AN185">
            <v>223</v>
          </cell>
          <cell r="AO185">
            <v>88</v>
          </cell>
          <cell r="AP185">
            <v>6</v>
          </cell>
          <cell r="AQ185">
            <v>6</v>
          </cell>
          <cell r="AR185">
            <v>6</v>
          </cell>
          <cell r="AS185">
            <v>6</v>
          </cell>
          <cell r="AT185">
            <v>4</v>
          </cell>
          <cell r="AU185">
            <v>5</v>
          </cell>
          <cell r="AV185">
            <v>6</v>
          </cell>
          <cell r="AW185">
            <v>5</v>
          </cell>
          <cell r="AX185">
            <v>5</v>
          </cell>
          <cell r="AY185">
            <v>5</v>
          </cell>
          <cell r="AZ185">
            <v>6</v>
          </cell>
          <cell r="BA185">
            <v>6</v>
          </cell>
          <cell r="BB185">
            <v>138</v>
          </cell>
        </row>
        <row r="186">
          <cell r="D186" t="str">
            <v>masugnsgas m.m.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139</v>
          </cell>
        </row>
        <row r="187">
          <cell r="D187" t="str">
            <v>övriga bränslen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0.11629999999997687</v>
          </cell>
          <cell r="AH187">
            <v>1.3490799999999996</v>
          </cell>
          <cell r="AI187">
            <v>0</v>
          </cell>
          <cell r="AJ187">
            <v>0</v>
          </cell>
          <cell r="AK187">
            <v>0</v>
          </cell>
          <cell r="AL187">
            <v>4.0937599999999949E-2</v>
          </cell>
          <cell r="AM187">
            <v>2.4306700000000001</v>
          </cell>
          <cell r="AN187">
            <v>57</v>
          </cell>
          <cell r="AO187">
            <v>73</v>
          </cell>
          <cell r="AP187">
            <v>66</v>
          </cell>
          <cell r="AQ187">
            <v>15</v>
          </cell>
          <cell r="AR187">
            <v>45</v>
          </cell>
          <cell r="AS187">
            <v>57</v>
          </cell>
          <cell r="AT187">
            <v>64</v>
          </cell>
          <cell r="AU187">
            <v>65</v>
          </cell>
          <cell r="AV187">
            <v>18</v>
          </cell>
          <cell r="AW187">
            <v>48</v>
          </cell>
          <cell r="AX187">
            <v>0</v>
          </cell>
          <cell r="AY187">
            <v>28</v>
          </cell>
          <cell r="AZ187">
            <v>37</v>
          </cell>
          <cell r="BA187">
            <v>39</v>
          </cell>
          <cell r="BB187">
            <v>140</v>
          </cell>
        </row>
        <row r="188">
          <cell r="D188" t="str">
            <v>fjärrvärme</v>
          </cell>
          <cell r="Y188">
            <v>308.39200000000005</v>
          </cell>
          <cell r="Z188">
            <v>299.32099999999997</v>
          </cell>
          <cell r="AA188">
            <v>287.7</v>
          </cell>
          <cell r="AB188">
            <v>393.39136994286423</v>
          </cell>
          <cell r="AC188">
            <v>458.00000000000006</v>
          </cell>
          <cell r="AD188">
            <v>298.56782359678112</v>
          </cell>
          <cell r="AE188">
            <v>301.45229857856089</v>
          </cell>
          <cell r="AF188">
            <v>312.05871390632353</v>
          </cell>
          <cell r="AG188">
            <v>258.30610000000001</v>
          </cell>
          <cell r="AH188">
            <v>299.92313571428571</v>
          </cell>
          <cell r="AI188">
            <v>417.21607666454531</v>
          </cell>
          <cell r="AJ188">
            <v>917.50273668462182</v>
          </cell>
          <cell r="AK188">
            <v>933.28640753464776</v>
          </cell>
          <cell r="AL188">
            <v>345</v>
          </cell>
          <cell r="AM188">
            <v>460</v>
          </cell>
          <cell r="AN188">
            <v>550</v>
          </cell>
          <cell r="AO188">
            <v>491</v>
          </cell>
          <cell r="AP188">
            <v>451</v>
          </cell>
          <cell r="AQ188">
            <v>463</v>
          </cell>
          <cell r="AR188">
            <v>455</v>
          </cell>
          <cell r="AS188">
            <v>527</v>
          </cell>
          <cell r="AT188">
            <v>420</v>
          </cell>
          <cell r="AU188">
            <v>507</v>
          </cell>
          <cell r="AV188">
            <v>375</v>
          </cell>
          <cell r="AW188">
            <v>339</v>
          </cell>
          <cell r="AX188">
            <v>324</v>
          </cell>
          <cell r="AY188">
            <v>338</v>
          </cell>
          <cell r="AZ188">
            <v>344</v>
          </cell>
          <cell r="BA188">
            <v>365</v>
          </cell>
          <cell r="BB188">
            <v>141</v>
          </cell>
        </row>
        <row r="189">
          <cell r="D189" t="str">
            <v>el</v>
          </cell>
          <cell r="Y189">
            <v>654.8690000000006</v>
          </cell>
          <cell r="Z189">
            <v>675.99900000000071</v>
          </cell>
          <cell r="AA189">
            <v>567.06200000000035</v>
          </cell>
          <cell r="AB189">
            <v>548.95199999999977</v>
          </cell>
          <cell r="AC189">
            <v>647.70600000000013</v>
          </cell>
          <cell r="AD189">
            <v>645.10599999999977</v>
          </cell>
          <cell r="AE189">
            <v>701.1579999999999</v>
          </cell>
          <cell r="AF189">
            <v>537.20757879138637</v>
          </cell>
          <cell r="AG189">
            <v>522.23000000000047</v>
          </cell>
          <cell r="AH189">
            <v>725.03072544228598</v>
          </cell>
          <cell r="AI189">
            <v>1008</v>
          </cell>
          <cell r="AJ189">
            <v>853</v>
          </cell>
          <cell r="AK189">
            <v>958</v>
          </cell>
          <cell r="AL189">
            <v>912</v>
          </cell>
          <cell r="AM189">
            <v>999</v>
          </cell>
          <cell r="AN189">
            <v>2365</v>
          </cell>
          <cell r="AO189">
            <v>1542</v>
          </cell>
          <cell r="AP189">
            <v>1672</v>
          </cell>
          <cell r="AQ189">
            <v>1567</v>
          </cell>
          <cell r="AR189">
            <v>1481</v>
          </cell>
          <cell r="AS189">
            <v>1432</v>
          </cell>
          <cell r="AT189">
            <v>1411</v>
          </cell>
          <cell r="AU189">
            <v>1346</v>
          </cell>
          <cell r="AV189">
            <v>1341</v>
          </cell>
          <cell r="AW189">
            <v>1266</v>
          </cell>
          <cell r="AX189">
            <v>1282</v>
          </cell>
          <cell r="AY189">
            <v>1346</v>
          </cell>
          <cell r="AZ189">
            <v>1331</v>
          </cell>
          <cell r="BA189">
            <v>1399</v>
          </cell>
          <cell r="BB189">
            <v>142</v>
          </cell>
        </row>
        <row r="190">
          <cell r="D190" t="str">
            <v>totalt</v>
          </cell>
          <cell r="Y190">
            <v>1471.9190879000007</v>
          </cell>
          <cell r="Z190">
            <v>1501.3086722000005</v>
          </cell>
          <cell r="AA190">
            <v>1395.0588870000004</v>
          </cell>
          <cell r="AB190">
            <v>1351.2524135867061</v>
          </cell>
          <cell r="AC190">
            <v>1602.6335383000001</v>
          </cell>
          <cell r="AD190">
            <v>1551.790059153552</v>
          </cell>
          <cell r="AE190">
            <v>1690.0141656785609</v>
          </cell>
          <cell r="AF190">
            <v>1531.49104206078</v>
          </cell>
          <cell r="AG190">
            <v>1504.8799981000006</v>
          </cell>
          <cell r="AH190">
            <v>1792.8728825590981</v>
          </cell>
          <cell r="AI190">
            <v>2119.4264866645453</v>
          </cell>
          <cell r="AJ190">
            <v>2404.3761321946217</v>
          </cell>
          <cell r="AK190">
            <v>2524.3906075346476</v>
          </cell>
          <cell r="AL190">
            <v>1769.4339798330002</v>
          </cell>
          <cell r="AM190">
            <v>1972.7454855000001</v>
          </cell>
          <cell r="AN190">
            <v>3495</v>
          </cell>
          <cell r="AO190">
            <v>2601</v>
          </cell>
          <cell r="AP190">
            <v>2557</v>
          </cell>
          <cell r="AQ190">
            <v>2496</v>
          </cell>
          <cell r="AR190">
            <v>2432</v>
          </cell>
          <cell r="AS190">
            <v>2508</v>
          </cell>
          <cell r="AT190">
            <v>2239</v>
          </cell>
          <cell r="AU190">
            <v>2227</v>
          </cell>
          <cell r="AV190">
            <v>2032</v>
          </cell>
          <cell r="AW190">
            <v>1936</v>
          </cell>
          <cell r="AX190">
            <v>1808</v>
          </cell>
          <cell r="AY190">
            <v>1870</v>
          </cell>
          <cell r="AZ190">
            <v>1854</v>
          </cell>
          <cell r="BA190">
            <v>1929</v>
          </cell>
          <cell r="BB190">
            <v>143</v>
          </cell>
        </row>
        <row r="192">
          <cell r="D192" t="str">
            <v>biobränsle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1381.2412532167318</v>
          </cell>
          <cell r="AF192">
            <v>53.454695082239354</v>
          </cell>
          <cell r="AG192">
            <v>33.432000000000002</v>
          </cell>
          <cell r="AH192">
            <v>20.3765</v>
          </cell>
          <cell r="AI192">
            <v>243.06700000000001</v>
          </cell>
          <cell r="AJ192">
            <v>27.842220000000005</v>
          </cell>
          <cell r="AK192">
            <v>23.26</v>
          </cell>
          <cell r="AL192">
            <v>20.7119833</v>
          </cell>
          <cell r="AM192">
            <v>19.817520000000002</v>
          </cell>
          <cell r="AN192">
            <v>89</v>
          </cell>
          <cell r="AO192">
            <v>96</v>
          </cell>
          <cell r="AP192">
            <v>52</v>
          </cell>
          <cell r="AQ192">
            <v>72</v>
          </cell>
          <cell r="AR192">
            <v>123</v>
          </cell>
          <cell r="AS192">
            <v>95</v>
          </cell>
          <cell r="AT192">
            <v>451</v>
          </cell>
          <cell r="AU192">
            <v>114</v>
          </cell>
          <cell r="AV192">
            <v>135</v>
          </cell>
          <cell r="AW192">
            <v>126</v>
          </cell>
          <cell r="AX192">
            <v>179</v>
          </cell>
          <cell r="AY192">
            <v>125</v>
          </cell>
          <cell r="AZ192">
            <v>265</v>
          </cell>
          <cell r="BA192">
            <v>292</v>
          </cell>
          <cell r="BB192">
            <v>145</v>
          </cell>
        </row>
        <row r="193">
          <cell r="D193" t="str">
            <v>kol</v>
          </cell>
          <cell r="Y193">
            <v>246.68160399999999</v>
          </cell>
          <cell r="Z193">
            <v>352.93793600000004</v>
          </cell>
          <cell r="AA193">
            <v>131.47482399999998</v>
          </cell>
          <cell r="AB193">
            <v>55.683276999999997</v>
          </cell>
          <cell r="AC193">
            <v>25.089980499999999</v>
          </cell>
          <cell r="AD193">
            <v>15.799354999999998</v>
          </cell>
          <cell r="AE193">
            <v>11.110163411353078</v>
          </cell>
          <cell r="AF193">
            <v>0</v>
          </cell>
          <cell r="AG193">
            <v>0</v>
          </cell>
          <cell r="AH193">
            <v>0</v>
          </cell>
          <cell r="AI193">
            <v>1.5119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146</v>
          </cell>
        </row>
        <row r="194">
          <cell r="D194" t="str">
            <v>koks</v>
          </cell>
          <cell r="Y194">
            <v>0.1246736</v>
          </cell>
          <cell r="Z194">
            <v>0.31558005</v>
          </cell>
          <cell r="AA194">
            <v>0</v>
          </cell>
          <cell r="AB194">
            <v>3.1168399999999999E-2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147</v>
          </cell>
        </row>
        <row r="195">
          <cell r="D195" t="str">
            <v>gasol</v>
          </cell>
          <cell r="Y195">
            <v>14.302685800000003</v>
          </cell>
          <cell r="Z195">
            <v>14.008334999999999</v>
          </cell>
          <cell r="AA195">
            <v>20.571144</v>
          </cell>
          <cell r="AB195">
            <v>16.016835999999998</v>
          </cell>
          <cell r="AC195">
            <v>16.221523999999999</v>
          </cell>
          <cell r="AD195">
            <v>11.452369547292786</v>
          </cell>
          <cell r="AE195">
            <v>14.276988000000001</v>
          </cell>
          <cell r="AF195">
            <v>23.182430960526315</v>
          </cell>
          <cell r="AG195">
            <v>20.933185899999998</v>
          </cell>
          <cell r="AH195">
            <v>23.264244949999995</v>
          </cell>
          <cell r="AI195">
            <v>39.658299999999997</v>
          </cell>
          <cell r="AJ195">
            <v>25.585999999999999</v>
          </cell>
          <cell r="AK195">
            <v>25.586200000000002</v>
          </cell>
          <cell r="AL195">
            <v>25.877882680000003</v>
          </cell>
          <cell r="AM195">
            <v>26.711992800000004</v>
          </cell>
          <cell r="AN195">
            <v>83</v>
          </cell>
          <cell r="AO195">
            <v>91</v>
          </cell>
          <cell r="AP195">
            <v>49</v>
          </cell>
          <cell r="AQ195">
            <v>252</v>
          </cell>
          <cell r="AR195">
            <v>299</v>
          </cell>
          <cell r="AS195">
            <v>347</v>
          </cell>
          <cell r="AT195">
            <v>252</v>
          </cell>
          <cell r="AU195">
            <v>187</v>
          </cell>
          <cell r="AV195">
            <v>129</v>
          </cell>
          <cell r="AW195">
            <v>133</v>
          </cell>
          <cell r="AX195">
            <v>131</v>
          </cell>
          <cell r="AY195">
            <v>172</v>
          </cell>
          <cell r="AZ195">
            <v>189</v>
          </cell>
          <cell r="BA195">
            <v>190</v>
          </cell>
          <cell r="BB195">
            <v>148</v>
          </cell>
        </row>
        <row r="196">
          <cell r="D196" t="str">
            <v>bensin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15</v>
          </cell>
          <cell r="AO196">
            <v>1</v>
          </cell>
          <cell r="AP196">
            <v>0</v>
          </cell>
          <cell r="AQ196">
            <v>0</v>
          </cell>
          <cell r="AR196">
            <v>0</v>
          </cell>
          <cell r="AS196">
            <v>1</v>
          </cell>
          <cell r="AT196">
            <v>2</v>
          </cell>
          <cell r="AU196">
            <v>2</v>
          </cell>
          <cell r="AV196">
            <v>3</v>
          </cell>
          <cell r="AW196">
            <v>0</v>
          </cell>
          <cell r="AX196">
            <v>0</v>
          </cell>
          <cell r="AY196">
            <v>1</v>
          </cell>
          <cell r="AZ196">
            <v>0</v>
          </cell>
          <cell r="BA196">
            <v>0</v>
          </cell>
          <cell r="BB196">
            <v>149</v>
          </cell>
        </row>
        <row r="197">
          <cell r="D197" t="str">
            <v>lättoljor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150</v>
          </cell>
        </row>
        <row r="198">
          <cell r="D198" t="str">
            <v>diesel</v>
          </cell>
          <cell r="Y198">
            <v>0</v>
          </cell>
          <cell r="Z198">
            <v>4.9427500000000006E-2</v>
          </cell>
          <cell r="AA198">
            <v>2.9656500000000002E-2</v>
          </cell>
          <cell r="AB198">
            <v>0.94900800000000007</v>
          </cell>
          <cell r="AC198">
            <v>3.9542000000000001E-2</v>
          </cell>
          <cell r="AD198">
            <v>0</v>
          </cell>
          <cell r="AE198">
            <v>0</v>
          </cell>
          <cell r="AF198">
            <v>1.5290833902605641</v>
          </cell>
          <cell r="AG198">
            <v>0.58683671522120284</v>
          </cell>
          <cell r="AH198">
            <v>1.2742938779661759</v>
          </cell>
          <cell r="AI198">
            <v>4.9427500000000002</v>
          </cell>
          <cell r="AJ198">
            <v>0</v>
          </cell>
          <cell r="AK198">
            <v>0</v>
          </cell>
          <cell r="AL198">
            <v>1.2383385570000001</v>
          </cell>
          <cell r="AM198">
            <v>8.1997958999999998</v>
          </cell>
          <cell r="AN198">
            <v>5</v>
          </cell>
          <cell r="AO198">
            <v>3</v>
          </cell>
          <cell r="AP198">
            <v>5</v>
          </cell>
          <cell r="AQ198">
            <v>3</v>
          </cell>
          <cell r="AR198">
            <v>2</v>
          </cell>
          <cell r="AS198">
            <v>1</v>
          </cell>
          <cell r="AT198">
            <v>1</v>
          </cell>
          <cell r="AU198">
            <v>1</v>
          </cell>
          <cell r="AV198">
            <v>1</v>
          </cell>
          <cell r="AW198">
            <v>2</v>
          </cell>
          <cell r="AX198">
            <v>8</v>
          </cell>
          <cell r="AY198">
            <v>14</v>
          </cell>
          <cell r="AZ198">
            <v>14</v>
          </cell>
          <cell r="BA198">
            <v>16</v>
          </cell>
          <cell r="BB198">
            <v>151</v>
          </cell>
        </row>
        <row r="199">
          <cell r="D199" t="str">
            <v>eo1</v>
          </cell>
          <cell r="Y199">
            <v>69.742202500000005</v>
          </cell>
          <cell r="Z199">
            <v>92.409654000000018</v>
          </cell>
          <cell r="AA199">
            <v>104.03500199999999</v>
          </cell>
          <cell r="AB199">
            <v>107.6036675</v>
          </cell>
          <cell r="AC199">
            <v>106.16038450000001</v>
          </cell>
          <cell r="AD199">
            <v>109.97618750000001</v>
          </cell>
          <cell r="AE199">
            <v>134.14623500000002</v>
          </cell>
          <cell r="AF199">
            <v>125.71390350000001</v>
          </cell>
          <cell r="AG199">
            <v>117.8035264</v>
          </cell>
          <cell r="AH199">
            <v>190.02389793454546</v>
          </cell>
          <cell r="AI199">
            <v>177.93900000000002</v>
          </cell>
          <cell r="AJ199">
            <v>119.5596</v>
          </cell>
          <cell r="AK199">
            <v>119.5596</v>
          </cell>
          <cell r="AL199">
            <v>156.592588302</v>
          </cell>
          <cell r="AM199">
            <v>129.52289999999999</v>
          </cell>
          <cell r="AN199">
            <v>559</v>
          </cell>
          <cell r="AO199">
            <v>600</v>
          </cell>
          <cell r="AP199">
            <v>514</v>
          </cell>
          <cell r="AQ199">
            <v>446</v>
          </cell>
          <cell r="AR199">
            <v>389</v>
          </cell>
          <cell r="AS199">
            <v>447</v>
          </cell>
          <cell r="AT199">
            <v>339</v>
          </cell>
          <cell r="AU199">
            <v>318</v>
          </cell>
          <cell r="AV199">
            <v>252</v>
          </cell>
          <cell r="AW199">
            <v>230</v>
          </cell>
          <cell r="AX199">
            <v>163</v>
          </cell>
          <cell r="AY199">
            <v>128</v>
          </cell>
          <cell r="AZ199">
            <v>109</v>
          </cell>
          <cell r="BA199">
            <v>111</v>
          </cell>
          <cell r="BB199">
            <v>152</v>
          </cell>
        </row>
        <row r="200">
          <cell r="D200" t="str">
            <v>eo2-6</v>
          </cell>
          <cell r="Y200">
            <v>143.73249509999999</v>
          </cell>
          <cell r="Z200">
            <v>142.64008920000001</v>
          </cell>
          <cell r="AA200">
            <v>90.312764999999985</v>
          </cell>
          <cell r="AB200">
            <v>104.65244990750215</v>
          </cell>
          <cell r="AC200">
            <v>80.881300199999998</v>
          </cell>
          <cell r="AD200">
            <v>136.59400109999999</v>
          </cell>
          <cell r="AE200">
            <v>164.1637302</v>
          </cell>
          <cell r="AF200">
            <v>55.691069099999993</v>
          </cell>
          <cell r="AG200">
            <v>31.122752249999998</v>
          </cell>
          <cell r="AH200">
            <v>61.960653024545458</v>
          </cell>
          <cell r="AI200">
            <v>36.774059999999999</v>
          </cell>
          <cell r="AJ200">
            <v>52.957000000000001</v>
          </cell>
          <cell r="AK200">
            <v>63.548400000000001</v>
          </cell>
          <cell r="AL200">
            <v>47.770074549999997</v>
          </cell>
          <cell r="AM200">
            <v>52.914999999999999</v>
          </cell>
          <cell r="AN200">
            <v>27</v>
          </cell>
          <cell r="AO200">
            <v>14</v>
          </cell>
          <cell r="AP200">
            <v>12</v>
          </cell>
          <cell r="AQ200">
            <v>23</v>
          </cell>
          <cell r="AR200">
            <v>19</v>
          </cell>
          <cell r="AS200">
            <v>30</v>
          </cell>
          <cell r="AT200">
            <v>15</v>
          </cell>
          <cell r="AU200">
            <v>14</v>
          </cell>
          <cell r="AV200">
            <v>72</v>
          </cell>
          <cell r="AW200">
            <v>48</v>
          </cell>
          <cell r="AX200">
            <v>47</v>
          </cell>
          <cell r="AY200">
            <v>13</v>
          </cell>
          <cell r="AZ200">
            <v>14</v>
          </cell>
          <cell r="BA200">
            <v>11</v>
          </cell>
          <cell r="BB200">
            <v>153</v>
          </cell>
        </row>
        <row r="201">
          <cell r="D201" t="str">
            <v>övriga petroleumprodukter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154</v>
          </cell>
        </row>
        <row r="202">
          <cell r="D202" t="str">
            <v>naturgas</v>
          </cell>
          <cell r="Y202">
            <v>18.176400000000001</v>
          </cell>
          <cell r="Z202">
            <v>15.336</v>
          </cell>
          <cell r="AA202">
            <v>14.7636</v>
          </cell>
          <cell r="AB202">
            <v>13.141440000000001</v>
          </cell>
          <cell r="AC202">
            <v>16.621200000000002</v>
          </cell>
          <cell r="AD202">
            <v>18.487439999999999</v>
          </cell>
          <cell r="AE202">
            <v>18.983160000000002</v>
          </cell>
          <cell r="AF202">
            <v>28.886643692307693</v>
          </cell>
          <cell r="AG202">
            <v>91.096812</v>
          </cell>
          <cell r="AH202">
            <v>165.47513563636363</v>
          </cell>
          <cell r="AI202">
            <v>90.396000000000015</v>
          </cell>
          <cell r="AJ202">
            <v>109.89</v>
          </cell>
          <cell r="AK202">
            <v>108.9</v>
          </cell>
          <cell r="AL202">
            <v>157.87650824999997</v>
          </cell>
          <cell r="AM202">
            <v>165.71249999999998</v>
          </cell>
          <cell r="AN202">
            <v>576</v>
          </cell>
          <cell r="AO202">
            <v>535</v>
          </cell>
          <cell r="AP202">
            <v>586</v>
          </cell>
          <cell r="AQ202">
            <v>339</v>
          </cell>
          <cell r="AR202">
            <v>300</v>
          </cell>
          <cell r="AS202">
            <v>407</v>
          </cell>
          <cell r="AT202">
            <v>217</v>
          </cell>
          <cell r="AU202">
            <v>189</v>
          </cell>
          <cell r="AV202">
            <v>181</v>
          </cell>
          <cell r="AW202">
            <v>192</v>
          </cell>
          <cell r="AX202">
            <v>196</v>
          </cell>
          <cell r="AY202">
            <v>219</v>
          </cell>
          <cell r="AZ202">
            <v>199</v>
          </cell>
          <cell r="BA202">
            <v>159</v>
          </cell>
          <cell r="BB202">
            <v>155</v>
          </cell>
        </row>
        <row r="203">
          <cell r="D203" t="str">
            <v>stadsgas</v>
          </cell>
          <cell r="Y203">
            <v>0</v>
          </cell>
          <cell r="Z203">
            <v>3.2564000000000003E-2</v>
          </cell>
          <cell r="AA203">
            <v>4.1867999999999995E-2</v>
          </cell>
          <cell r="AB203">
            <v>8.1033531717230375E-3</v>
          </cell>
          <cell r="AC203">
            <v>0</v>
          </cell>
          <cell r="AD203">
            <v>8.3735999999999991E-2</v>
          </cell>
          <cell r="AE203">
            <v>7.9084000000000002E-2</v>
          </cell>
          <cell r="AF203">
            <v>8.772301084280551E-3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156</v>
          </cell>
        </row>
        <row r="204">
          <cell r="D204" t="str">
            <v>masugnsgas m.m.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157</v>
          </cell>
        </row>
        <row r="205">
          <cell r="D205" t="str">
            <v>övriga bränslen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3.7332300000000003</v>
          </cell>
          <cell r="AH205">
            <v>1.1513700000000002</v>
          </cell>
          <cell r="AI205">
            <v>10.467000000000001</v>
          </cell>
          <cell r="AJ205">
            <v>0</v>
          </cell>
          <cell r="AK205">
            <v>0.44031180000000003</v>
          </cell>
          <cell r="AL205">
            <v>1.0265801000000001</v>
          </cell>
          <cell r="AM205">
            <v>1.24441</v>
          </cell>
          <cell r="AN205">
            <v>2</v>
          </cell>
          <cell r="AO205">
            <v>2</v>
          </cell>
          <cell r="AP205">
            <v>1</v>
          </cell>
          <cell r="AQ205">
            <v>1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26</v>
          </cell>
          <cell r="BA205">
            <v>0</v>
          </cell>
          <cell r="BB205">
            <v>158</v>
          </cell>
        </row>
        <row r="206">
          <cell r="D206" t="str">
            <v>fjärrvärme</v>
          </cell>
          <cell r="Y206">
            <v>81.700999999999993</v>
          </cell>
          <cell r="Z206">
            <v>84.679000000000002</v>
          </cell>
          <cell r="AA206">
            <v>78.8</v>
          </cell>
          <cell r="AB206">
            <v>71.81</v>
          </cell>
          <cell r="AC206">
            <v>80.838743522596687</v>
          </cell>
          <cell r="AD206">
            <v>70.048215004765254</v>
          </cell>
          <cell r="AE206">
            <v>81.028627265370943</v>
          </cell>
          <cell r="AF206">
            <v>70.348115591951199</v>
          </cell>
          <cell r="AG206">
            <v>43.423400000000001</v>
          </cell>
          <cell r="AH206">
            <v>46.237927272727276</v>
          </cell>
          <cell r="AI206">
            <v>78.369156515770257</v>
          </cell>
          <cell r="AJ206">
            <v>86.653206268492212</v>
          </cell>
          <cell r="AK206">
            <v>88.143889218151259</v>
          </cell>
          <cell r="AL206">
            <v>23</v>
          </cell>
          <cell r="AM206">
            <v>47</v>
          </cell>
          <cell r="AN206">
            <v>223</v>
          </cell>
          <cell r="AO206">
            <v>211</v>
          </cell>
          <cell r="AP206">
            <v>205</v>
          </cell>
          <cell r="AQ206">
            <v>254</v>
          </cell>
          <cell r="AR206">
            <v>239</v>
          </cell>
          <cell r="AS206">
            <v>261</v>
          </cell>
          <cell r="AT206">
            <v>218</v>
          </cell>
          <cell r="AU206">
            <v>247</v>
          </cell>
          <cell r="AV206">
            <v>224</v>
          </cell>
          <cell r="AW206">
            <v>161</v>
          </cell>
          <cell r="AX206">
            <v>165</v>
          </cell>
          <cell r="AY206">
            <v>170</v>
          </cell>
          <cell r="AZ206">
            <v>174</v>
          </cell>
          <cell r="BA206">
            <v>154</v>
          </cell>
          <cell r="BB206">
            <v>159</v>
          </cell>
        </row>
        <row r="207">
          <cell r="D207" t="str">
            <v>el</v>
          </cell>
          <cell r="Y207">
            <v>898.04200000000003</v>
          </cell>
          <cell r="Z207">
            <v>918.45399999999995</v>
          </cell>
          <cell r="AA207">
            <v>844.84299999999996</v>
          </cell>
          <cell r="AB207">
            <v>826.25900000000001</v>
          </cell>
          <cell r="AC207">
            <v>922.95</v>
          </cell>
          <cell r="AD207">
            <v>962.02700000000004</v>
          </cell>
          <cell r="AE207">
            <v>1111.1410000000001</v>
          </cell>
          <cell r="AF207">
            <v>1025.653471606558</v>
          </cell>
          <cell r="AG207">
            <v>969.46227719245417</v>
          </cell>
          <cell r="AH207">
            <v>1264.8516029456712</v>
          </cell>
          <cell r="AI207">
            <v>1252</v>
          </cell>
          <cell r="AJ207">
            <v>1353</v>
          </cell>
          <cell r="AK207">
            <v>1311</v>
          </cell>
          <cell r="AL207">
            <v>1300</v>
          </cell>
          <cell r="AM207">
            <v>1262</v>
          </cell>
          <cell r="AN207">
            <v>4423</v>
          </cell>
          <cell r="AO207">
            <v>4673</v>
          </cell>
          <cell r="AP207">
            <v>4684</v>
          </cell>
          <cell r="AQ207">
            <v>4341</v>
          </cell>
          <cell r="AR207">
            <v>3924</v>
          </cell>
          <cell r="AS207">
            <v>4387</v>
          </cell>
          <cell r="AT207">
            <v>4233</v>
          </cell>
          <cell r="AU207">
            <v>4293</v>
          </cell>
          <cell r="AV207">
            <v>4013</v>
          </cell>
          <cell r="AW207">
            <v>3788</v>
          </cell>
          <cell r="AX207">
            <v>3787</v>
          </cell>
          <cell r="AY207">
            <v>3695</v>
          </cell>
          <cell r="AZ207">
            <v>3727</v>
          </cell>
          <cell r="BA207">
            <v>3749</v>
          </cell>
          <cell r="BB207">
            <v>160</v>
          </cell>
        </row>
        <row r="208">
          <cell r="D208" t="str">
            <v>totalt</v>
          </cell>
          <cell r="Y208">
            <v>1472.5030609999999</v>
          </cell>
          <cell r="Z208">
            <v>1620.8625857500001</v>
          </cell>
          <cell r="AA208">
            <v>1284.8718595</v>
          </cell>
          <cell r="AB208">
            <v>1196.1549501606739</v>
          </cell>
          <cell r="AC208">
            <v>1248.8026747225967</v>
          </cell>
          <cell r="AD208">
            <v>1324.468304152058</v>
          </cell>
          <cell r="AE208">
            <v>2916.1702410934558</v>
          </cell>
          <cell r="AF208">
            <v>1384.4681852249273</v>
          </cell>
          <cell r="AG208">
            <v>1311.5940204576755</v>
          </cell>
          <cell r="AH208">
            <v>1774.6156256418192</v>
          </cell>
          <cell r="AI208">
            <v>1935.1251665157702</v>
          </cell>
          <cell r="AJ208">
            <v>1775.4880262684924</v>
          </cell>
          <cell r="AK208">
            <v>1740.4384010181514</v>
          </cell>
          <cell r="AL208">
            <v>1734.093955739</v>
          </cell>
          <cell r="AM208">
            <v>1713.1241186999998</v>
          </cell>
          <cell r="AN208">
            <v>6002</v>
          </cell>
          <cell r="AO208">
            <v>6226</v>
          </cell>
          <cell r="AP208">
            <v>6108</v>
          </cell>
          <cell r="AQ208">
            <v>5731</v>
          </cell>
          <cell r="AR208">
            <v>5295</v>
          </cell>
          <cell r="AS208">
            <v>5976</v>
          </cell>
          <cell r="AT208">
            <v>5728</v>
          </cell>
          <cell r="AU208">
            <v>5365</v>
          </cell>
          <cell r="AV208">
            <v>5010</v>
          </cell>
          <cell r="AW208">
            <v>4680</v>
          </cell>
          <cell r="AX208">
            <v>4676</v>
          </cell>
          <cell r="AY208">
            <v>4537</v>
          </cell>
          <cell r="AZ208">
            <v>4717</v>
          </cell>
          <cell r="BA208">
            <v>4682</v>
          </cell>
          <cell r="BB208">
            <v>161</v>
          </cell>
        </row>
        <row r="210">
          <cell r="D210" t="str">
            <v>biobränsle</v>
          </cell>
          <cell r="Y210">
            <v>23.26</v>
          </cell>
          <cell r="Z210">
            <v>34.89</v>
          </cell>
          <cell r="AA210">
            <v>0</v>
          </cell>
          <cell r="AB210">
            <v>34.89</v>
          </cell>
          <cell r="AC210">
            <v>69.78</v>
          </cell>
          <cell r="AD210">
            <v>139.56</v>
          </cell>
          <cell r="AE210">
            <v>8.6531426397848374</v>
          </cell>
          <cell r="AF210">
            <v>52.65518558810917</v>
          </cell>
          <cell r="AG210">
            <v>39.246224999999995</v>
          </cell>
          <cell r="AH210">
            <v>38.923700000000004</v>
          </cell>
          <cell r="AI210">
            <v>33.727000000000004</v>
          </cell>
          <cell r="AJ210">
            <v>52.071929400000002</v>
          </cell>
          <cell r="AK210">
            <v>46.52</v>
          </cell>
          <cell r="AL210">
            <v>24.009088300000002</v>
          </cell>
          <cell r="AM210">
            <v>22.003959999999999</v>
          </cell>
          <cell r="AN210">
            <v>124</v>
          </cell>
          <cell r="AO210">
            <v>525</v>
          </cell>
          <cell r="AP210">
            <v>438</v>
          </cell>
          <cell r="AQ210">
            <v>441</v>
          </cell>
          <cell r="AR210">
            <v>500</v>
          </cell>
          <cell r="AS210">
            <v>565</v>
          </cell>
          <cell r="AT210">
            <v>1128</v>
          </cell>
          <cell r="AU210">
            <v>1072</v>
          </cell>
          <cell r="AV210">
            <v>1231</v>
          </cell>
          <cell r="AW210">
            <v>1096</v>
          </cell>
          <cell r="AX210">
            <v>1295</v>
          </cell>
          <cell r="AY210">
            <v>998</v>
          </cell>
          <cell r="AZ210">
            <v>1041</v>
          </cell>
          <cell r="BA210">
            <v>911</v>
          </cell>
          <cell r="BB210">
            <v>163</v>
          </cell>
        </row>
        <row r="211">
          <cell r="D211" t="str">
            <v>kol</v>
          </cell>
          <cell r="Y211">
            <v>3056.6989439999998</v>
          </cell>
          <cell r="Z211">
            <v>2470.9435269999999</v>
          </cell>
          <cell r="AA211">
            <v>2043.7410629999999</v>
          </cell>
          <cell r="AB211">
            <v>2089.6801444999996</v>
          </cell>
          <cell r="AC211">
            <v>1963.0887574999999</v>
          </cell>
          <cell r="AD211">
            <v>2354.4516320000002</v>
          </cell>
          <cell r="AE211">
            <v>2419.2212492412068</v>
          </cell>
          <cell r="AF211">
            <v>1927.6724999999999</v>
          </cell>
          <cell r="AG211">
            <v>1844.518</v>
          </cell>
          <cell r="AH211">
            <v>1117.7174319999999</v>
          </cell>
          <cell r="AI211">
            <v>2118.92785</v>
          </cell>
          <cell r="AJ211">
            <v>1858.1251</v>
          </cell>
          <cell r="AK211">
            <v>1746.2445</v>
          </cell>
          <cell r="AL211">
            <v>1666.35948375</v>
          </cell>
          <cell r="AM211">
            <v>1796.9309475</v>
          </cell>
          <cell r="AN211">
            <v>6681</v>
          </cell>
          <cell r="AO211">
            <v>7134</v>
          </cell>
          <cell r="AP211">
            <v>6927</v>
          </cell>
          <cell r="AQ211">
            <v>7672</v>
          </cell>
          <cell r="AR211">
            <v>4841</v>
          </cell>
          <cell r="AS211">
            <v>5688</v>
          </cell>
          <cell r="AT211">
            <v>6775</v>
          </cell>
          <cell r="AU211">
            <v>6872</v>
          </cell>
          <cell r="AV211">
            <v>5525</v>
          </cell>
          <cell r="AW211">
            <v>5885</v>
          </cell>
          <cell r="AX211">
            <v>5847</v>
          </cell>
          <cell r="AY211">
            <v>5397</v>
          </cell>
          <cell r="AZ211">
            <v>6127</v>
          </cell>
          <cell r="BA211">
            <v>5475</v>
          </cell>
          <cell r="BB211">
            <v>164</v>
          </cell>
        </row>
        <row r="212">
          <cell r="D212" t="str">
            <v>koks</v>
          </cell>
          <cell r="Y212">
            <v>467.74417879999999</v>
          </cell>
          <cell r="Z212">
            <v>1277.0316848</v>
          </cell>
          <cell r="AA212">
            <v>941.79216649999989</v>
          </cell>
          <cell r="AB212">
            <v>812.7705747</v>
          </cell>
          <cell r="AC212">
            <v>638.45268997352491</v>
          </cell>
          <cell r="AD212">
            <v>715.07286970057066</v>
          </cell>
          <cell r="AE212">
            <v>225.9709</v>
          </cell>
          <cell r="AF212">
            <v>218.1788</v>
          </cell>
          <cell r="AG212">
            <v>257.13929999999999</v>
          </cell>
          <cell r="AH212">
            <v>280.51560000000001</v>
          </cell>
          <cell r="AI212">
            <v>298.43742999999995</v>
          </cell>
          <cell r="AJ212">
            <v>257.13929999999999</v>
          </cell>
          <cell r="AK212">
            <v>218.1788</v>
          </cell>
          <cell r="AL212">
            <v>212.25680399999999</v>
          </cell>
          <cell r="AM212">
            <v>182.11696119999999</v>
          </cell>
          <cell r="AN212">
            <v>693</v>
          </cell>
          <cell r="AO212">
            <v>741</v>
          </cell>
          <cell r="AP212">
            <v>708</v>
          </cell>
          <cell r="AQ212">
            <v>687</v>
          </cell>
          <cell r="AR212">
            <v>528</v>
          </cell>
          <cell r="AS212">
            <v>580</v>
          </cell>
          <cell r="AT212">
            <v>544</v>
          </cell>
          <cell r="AU212">
            <v>516</v>
          </cell>
          <cell r="AV212">
            <v>514</v>
          </cell>
          <cell r="AW212">
            <v>469</v>
          </cell>
          <cell r="AX212">
            <v>488</v>
          </cell>
          <cell r="AY212">
            <v>528</v>
          </cell>
          <cell r="AZ212">
            <v>598</v>
          </cell>
          <cell r="BA212">
            <v>707</v>
          </cell>
          <cell r="BB212">
            <v>165</v>
          </cell>
        </row>
        <row r="213">
          <cell r="D213" t="str">
            <v>gasol</v>
          </cell>
          <cell r="Y213">
            <v>673.16012890000002</v>
          </cell>
          <cell r="Z213">
            <v>1100.58179</v>
          </cell>
          <cell r="AA213">
            <v>1013.9475939999999</v>
          </cell>
          <cell r="AB213">
            <v>928.89972999999998</v>
          </cell>
          <cell r="AC213">
            <v>921.81240799999989</v>
          </cell>
          <cell r="AD213">
            <v>802.2183949114609</v>
          </cell>
          <cell r="AE213">
            <v>876.56356700000003</v>
          </cell>
          <cell r="AF213">
            <v>867.61585851111113</v>
          </cell>
          <cell r="AG213">
            <v>857.51606930000003</v>
          </cell>
          <cell r="AH213">
            <v>689.62670736666701</v>
          </cell>
          <cell r="AI213">
            <v>512.99929999999995</v>
          </cell>
          <cell r="AJ213">
            <v>486.13399999999996</v>
          </cell>
          <cell r="AK213">
            <v>345.41370000000001</v>
          </cell>
          <cell r="AL213">
            <v>348.59790258999999</v>
          </cell>
          <cell r="AM213">
            <v>276.26699450000001</v>
          </cell>
          <cell r="AN213">
            <v>1012</v>
          </cell>
          <cell r="AO213">
            <v>1106</v>
          </cell>
          <cell r="AP213">
            <v>1207</v>
          </cell>
          <cell r="AQ213">
            <v>984</v>
          </cell>
          <cell r="AR213">
            <v>824</v>
          </cell>
          <cell r="AS213">
            <v>882</v>
          </cell>
          <cell r="AT213">
            <v>806</v>
          </cell>
          <cell r="AU213">
            <v>863</v>
          </cell>
          <cell r="AV213">
            <v>812</v>
          </cell>
          <cell r="AW213">
            <v>788</v>
          </cell>
          <cell r="AX213">
            <v>795</v>
          </cell>
          <cell r="AY213">
            <v>848</v>
          </cell>
          <cell r="AZ213">
            <v>947</v>
          </cell>
          <cell r="BA213">
            <v>923</v>
          </cell>
          <cell r="BB213">
            <v>166</v>
          </cell>
        </row>
        <row r="214">
          <cell r="D214" t="str">
            <v>bensin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2</v>
          </cell>
          <cell r="AQ214">
            <v>1</v>
          </cell>
          <cell r="AR214">
            <v>0</v>
          </cell>
          <cell r="AS214">
            <v>1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167</v>
          </cell>
        </row>
        <row r="215">
          <cell r="D215" t="str">
            <v>lättoljor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168</v>
          </cell>
        </row>
        <row r="216">
          <cell r="D216" t="str">
            <v>diesel</v>
          </cell>
          <cell r="Y216">
            <v>9.3516829999999995</v>
          </cell>
          <cell r="Z216">
            <v>8.2148505000000007</v>
          </cell>
          <cell r="AA216">
            <v>6.0598115000000004</v>
          </cell>
          <cell r="AB216">
            <v>11.427638</v>
          </cell>
          <cell r="AC216">
            <v>11.704432000000001</v>
          </cell>
          <cell r="AD216">
            <v>13.651875500000001</v>
          </cell>
          <cell r="AE216">
            <v>12.841264499999999</v>
          </cell>
          <cell r="AF216">
            <v>10.867586366741484</v>
          </cell>
          <cell r="AG216">
            <v>7.7395306224702729</v>
          </cell>
          <cell r="AH216">
            <v>7.0483615000000004</v>
          </cell>
          <cell r="AI216">
            <v>14.828250000000001</v>
          </cell>
          <cell r="AJ216">
            <v>9.9633000000000003</v>
          </cell>
          <cell r="AK216">
            <v>19.926600000000001</v>
          </cell>
          <cell r="AL216">
            <v>18.506132318999999</v>
          </cell>
          <cell r="AM216">
            <v>3.6764576999999998</v>
          </cell>
          <cell r="AN216">
            <v>29</v>
          </cell>
          <cell r="AO216">
            <v>21</v>
          </cell>
          <cell r="AP216">
            <v>25</v>
          </cell>
          <cell r="AQ216">
            <v>19</v>
          </cell>
          <cell r="AR216">
            <v>17</v>
          </cell>
          <cell r="AS216">
            <v>15</v>
          </cell>
          <cell r="AT216">
            <v>31</v>
          </cell>
          <cell r="AU216">
            <v>25</v>
          </cell>
          <cell r="AV216">
            <v>18</v>
          </cell>
          <cell r="AW216">
            <v>38</v>
          </cell>
          <cell r="AX216">
            <v>68</v>
          </cell>
          <cell r="AY216">
            <v>158</v>
          </cell>
          <cell r="AZ216">
            <v>175</v>
          </cell>
          <cell r="BA216">
            <v>184</v>
          </cell>
          <cell r="BB216">
            <v>169</v>
          </cell>
        </row>
        <row r="217">
          <cell r="D217" t="str">
            <v>eo1</v>
          </cell>
          <cell r="Y217">
            <v>480.31667400000003</v>
          </cell>
          <cell r="Z217">
            <v>394.99492350000003</v>
          </cell>
          <cell r="AA217">
            <v>286.73881299999999</v>
          </cell>
          <cell r="AB217">
            <v>302.98068950000004</v>
          </cell>
          <cell r="AC217">
            <v>301.71534550000001</v>
          </cell>
          <cell r="AD217">
            <v>351.1823875</v>
          </cell>
          <cell r="AE217">
            <v>328.52482149999997</v>
          </cell>
          <cell r="AF217">
            <v>335.88951900000001</v>
          </cell>
          <cell r="AG217">
            <v>288.36398919999999</v>
          </cell>
          <cell r="AH217">
            <v>333.41550786666676</v>
          </cell>
          <cell r="AI217">
            <v>442.87040000000002</v>
          </cell>
          <cell r="AJ217">
            <v>697.43100000000004</v>
          </cell>
          <cell r="AK217">
            <v>318.82560000000001</v>
          </cell>
          <cell r="AL217">
            <v>320.27326749000002</v>
          </cell>
          <cell r="AM217">
            <v>328.78890000000001</v>
          </cell>
          <cell r="AN217">
            <v>819</v>
          </cell>
          <cell r="AO217">
            <v>820</v>
          </cell>
          <cell r="AP217">
            <v>900</v>
          </cell>
          <cell r="AQ217">
            <v>807</v>
          </cell>
          <cell r="AR217">
            <v>776</v>
          </cell>
          <cell r="AS217">
            <v>948</v>
          </cell>
          <cell r="AT217">
            <v>715</v>
          </cell>
          <cell r="AU217">
            <v>680</v>
          </cell>
          <cell r="AV217">
            <v>649</v>
          </cell>
          <cell r="AW217">
            <v>463</v>
          </cell>
          <cell r="AX217">
            <v>375</v>
          </cell>
          <cell r="AY217">
            <v>340</v>
          </cell>
          <cell r="AZ217">
            <v>324</v>
          </cell>
          <cell r="BA217">
            <v>345</v>
          </cell>
          <cell r="BB217">
            <v>170</v>
          </cell>
        </row>
        <row r="218">
          <cell r="D218" t="str">
            <v>eo2-6</v>
          </cell>
          <cell r="Y218">
            <v>1215.9667416</v>
          </cell>
          <cell r="Z218">
            <v>563.1298334999999</v>
          </cell>
          <cell r="AA218">
            <v>468.32846999999992</v>
          </cell>
          <cell r="AB218">
            <v>393.30668719802668</v>
          </cell>
          <cell r="AC218">
            <v>586.12443689999998</v>
          </cell>
          <cell r="AD218">
            <v>559.43079569999998</v>
          </cell>
          <cell r="AE218">
            <v>629.57190719999994</v>
          </cell>
          <cell r="AF218">
            <v>575.25445739999998</v>
          </cell>
          <cell r="AG218">
            <v>621.47836922999988</v>
          </cell>
          <cell r="AH218">
            <v>613.97314411399964</v>
          </cell>
          <cell r="AI218">
            <v>1349.8243199999999</v>
          </cell>
          <cell r="AJ218">
            <v>1239.1938</v>
          </cell>
          <cell r="AK218">
            <v>1133.2798</v>
          </cell>
          <cell r="AL218">
            <v>1041.83443945</v>
          </cell>
          <cell r="AM218">
            <v>920.721</v>
          </cell>
          <cell r="AN218">
            <v>4177</v>
          </cell>
          <cell r="AO218">
            <v>3847</v>
          </cell>
          <cell r="AP218">
            <v>3454</v>
          </cell>
          <cell r="AQ218">
            <v>2715</v>
          </cell>
          <cell r="AR218">
            <v>2736</v>
          </cell>
          <cell r="AS218">
            <v>2556</v>
          </cell>
          <cell r="AT218">
            <v>1493</v>
          </cell>
          <cell r="AU218">
            <v>1464</v>
          </cell>
          <cell r="AV218">
            <v>841</v>
          </cell>
          <cell r="AW218">
            <v>487</v>
          </cell>
          <cell r="AX218">
            <v>791</v>
          </cell>
          <cell r="AY218">
            <v>863</v>
          </cell>
          <cell r="AZ218">
            <v>1010</v>
          </cell>
          <cell r="BA218">
            <v>842</v>
          </cell>
          <cell r="BB218">
            <v>171</v>
          </cell>
        </row>
        <row r="219">
          <cell r="D219" t="str">
            <v>övriga petroleumprodukter</v>
          </cell>
          <cell r="Y219">
            <v>0</v>
          </cell>
          <cell r="Z219">
            <v>0</v>
          </cell>
          <cell r="AA219">
            <v>0</v>
          </cell>
          <cell r="AB219">
            <v>573.27969999999993</v>
          </cell>
          <cell r="AC219">
            <v>474.36880000000002</v>
          </cell>
          <cell r="AD219">
            <v>492.47499519564792</v>
          </cell>
          <cell r="AE219">
            <v>582.07759999999996</v>
          </cell>
          <cell r="AF219">
            <v>430.15335640450439</v>
          </cell>
          <cell r="AG219">
            <v>517.36889999999994</v>
          </cell>
          <cell r="AH219">
            <v>434.99999999999994</v>
          </cell>
          <cell r="AI219">
            <v>607.40740740740739</v>
          </cell>
          <cell r="AJ219">
            <v>427.50761584094909</v>
          </cell>
          <cell r="AK219">
            <v>452.49694749694748</v>
          </cell>
          <cell r="AL219">
            <v>519.30435311412032</v>
          </cell>
          <cell r="AM219">
            <v>678.97658909115353</v>
          </cell>
          <cell r="AN219">
            <v>1722</v>
          </cell>
          <cell r="AO219">
            <v>1853</v>
          </cell>
          <cell r="AP219">
            <v>1737</v>
          </cell>
          <cell r="AQ219">
            <v>1808</v>
          </cell>
          <cell r="AR219">
            <v>2580</v>
          </cell>
          <cell r="AS219">
            <v>1669</v>
          </cell>
          <cell r="AT219">
            <v>1625</v>
          </cell>
          <cell r="AU219">
            <v>1674</v>
          </cell>
          <cell r="AV219">
            <v>1342</v>
          </cell>
          <cell r="AW219">
            <v>1316</v>
          </cell>
          <cell r="AX219">
            <v>1154</v>
          </cell>
          <cell r="AY219">
            <v>1321</v>
          </cell>
          <cell r="AZ219">
            <v>1409</v>
          </cell>
          <cell r="BA219">
            <v>1387</v>
          </cell>
          <cell r="BB219">
            <v>172</v>
          </cell>
        </row>
        <row r="220">
          <cell r="D220" t="str">
            <v>naturgas</v>
          </cell>
          <cell r="Y220">
            <v>308.59920000000005</v>
          </cell>
          <cell r="Z220">
            <v>251.06760000000003</v>
          </cell>
          <cell r="AA220">
            <v>216.50760000000002</v>
          </cell>
          <cell r="AB220">
            <v>180.76284000000001</v>
          </cell>
          <cell r="AC220">
            <v>113.25744</v>
          </cell>
          <cell r="AD220">
            <v>122.01516000000002</v>
          </cell>
          <cell r="AE220">
            <v>236.23488</v>
          </cell>
          <cell r="AF220">
            <v>229.87800000000001</v>
          </cell>
          <cell r="AG220">
            <v>230.90248800000003</v>
          </cell>
          <cell r="AH220">
            <v>178.756632</v>
          </cell>
          <cell r="AI220">
            <v>383.94</v>
          </cell>
          <cell r="AJ220">
            <v>699.30000000000007</v>
          </cell>
          <cell r="AK220">
            <v>514.80000000000007</v>
          </cell>
          <cell r="AL220">
            <v>571.4319375</v>
          </cell>
          <cell r="AM220">
            <v>430.85249999999996</v>
          </cell>
          <cell r="AN220">
            <v>771</v>
          </cell>
          <cell r="AO220">
            <v>932</v>
          </cell>
          <cell r="AP220">
            <v>1121</v>
          </cell>
          <cell r="AQ220">
            <v>2026</v>
          </cell>
          <cell r="AR220">
            <v>1636</v>
          </cell>
          <cell r="AS220">
            <v>1989</v>
          </cell>
          <cell r="AT220">
            <v>3005</v>
          </cell>
          <cell r="AU220">
            <v>2913</v>
          </cell>
          <cell r="AV220">
            <v>1641</v>
          </cell>
          <cell r="AW220">
            <v>1906</v>
          </cell>
          <cell r="AX220">
            <v>1944</v>
          </cell>
          <cell r="AY220">
            <v>1988</v>
          </cell>
          <cell r="AZ220">
            <v>2014</v>
          </cell>
          <cell r="BA220">
            <v>2030</v>
          </cell>
          <cell r="BB220">
            <v>173</v>
          </cell>
        </row>
        <row r="221">
          <cell r="D221" t="str">
            <v>stadsgas</v>
          </cell>
          <cell r="Y221">
            <v>0</v>
          </cell>
          <cell r="Z221">
            <v>0</v>
          </cell>
          <cell r="AA221">
            <v>4.6519999999999999E-3</v>
          </cell>
          <cell r="AB221">
            <v>4.0516765858615187E-3</v>
          </cell>
          <cell r="AC221">
            <v>0</v>
          </cell>
          <cell r="AD221">
            <v>0</v>
          </cell>
          <cell r="AE221">
            <v>0</v>
          </cell>
          <cell r="AF221">
            <v>12.750539626001782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6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174</v>
          </cell>
        </row>
        <row r="222">
          <cell r="D222" t="str">
            <v>masugnsgas m.m.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48.000707714083504</v>
          </cell>
          <cell r="AI222">
            <v>60.475999999999999</v>
          </cell>
          <cell r="AJ222">
            <v>0</v>
          </cell>
          <cell r="AK222">
            <v>0</v>
          </cell>
          <cell r="AL222">
            <v>102.34400000000001</v>
          </cell>
          <cell r="AM222">
            <v>106.99600000000001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1</v>
          </cell>
          <cell r="AU222">
            <v>0</v>
          </cell>
          <cell r="AV222">
            <v>0</v>
          </cell>
          <cell r="AW222">
            <v>2</v>
          </cell>
          <cell r="AX222">
            <v>0</v>
          </cell>
          <cell r="AY222">
            <v>0</v>
          </cell>
          <cell r="AZ222">
            <v>408</v>
          </cell>
          <cell r="BA222">
            <v>369</v>
          </cell>
          <cell r="BB222">
            <v>175</v>
          </cell>
        </row>
        <row r="223">
          <cell r="D223" t="str">
            <v>övriga bränslen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0.54661000000000004</v>
          </cell>
          <cell r="AI223">
            <v>1.163</v>
          </cell>
          <cell r="AJ223">
            <v>2.55629726</v>
          </cell>
          <cell r="AK223">
            <v>1.6038933000000002</v>
          </cell>
          <cell r="AL223">
            <v>1.7740402000000002</v>
          </cell>
          <cell r="AM223">
            <v>1.5002700000000002</v>
          </cell>
          <cell r="AN223">
            <v>2774</v>
          </cell>
          <cell r="AO223">
            <v>322</v>
          </cell>
          <cell r="AP223">
            <v>682</v>
          </cell>
          <cell r="AQ223">
            <v>394</v>
          </cell>
          <cell r="AR223">
            <v>320</v>
          </cell>
          <cell r="AS223">
            <v>1976</v>
          </cell>
          <cell r="AT223">
            <v>1526</v>
          </cell>
          <cell r="AU223">
            <v>1203</v>
          </cell>
          <cell r="AV223">
            <v>1622</v>
          </cell>
          <cell r="AW223">
            <v>1387</v>
          </cell>
          <cell r="AX223">
            <v>1724</v>
          </cell>
          <cell r="AY223">
            <v>2747</v>
          </cell>
          <cell r="AZ223">
            <v>2263</v>
          </cell>
          <cell r="BA223">
            <v>3659</v>
          </cell>
          <cell r="BB223">
            <v>176</v>
          </cell>
        </row>
        <row r="224">
          <cell r="D224" t="str">
            <v>fjärrvärme</v>
          </cell>
          <cell r="Y224">
            <v>30.42</v>
          </cell>
          <cell r="Z224">
            <v>31.585999999999999</v>
          </cell>
          <cell r="AA224">
            <v>26.16</v>
          </cell>
          <cell r="AB224">
            <v>24.9</v>
          </cell>
          <cell r="AC224">
            <v>19.905055898976006</v>
          </cell>
          <cell r="AD224">
            <v>21.074243782413301</v>
          </cell>
          <cell r="AE224">
            <v>23.570362001313036</v>
          </cell>
          <cell r="AF224">
            <v>35.340213384376675</v>
          </cell>
          <cell r="AG224">
            <v>19.859299999999998</v>
          </cell>
          <cell r="AH224">
            <v>30.120233333333335</v>
          </cell>
          <cell r="AI224">
            <v>60.695798423748208</v>
          </cell>
          <cell r="AJ224">
            <v>64.833161344169653</v>
          </cell>
          <cell r="AK224">
            <v>65.948477122431726</v>
          </cell>
          <cell r="AL224">
            <v>63</v>
          </cell>
          <cell r="AM224">
            <v>65</v>
          </cell>
          <cell r="AN224">
            <v>201</v>
          </cell>
          <cell r="AO224">
            <v>231</v>
          </cell>
          <cell r="AP224">
            <v>197</v>
          </cell>
          <cell r="AQ224">
            <v>231</v>
          </cell>
          <cell r="AR224">
            <v>221</v>
          </cell>
          <cell r="AS224">
            <v>239</v>
          </cell>
          <cell r="AT224">
            <v>218</v>
          </cell>
          <cell r="AU224">
            <v>219</v>
          </cell>
          <cell r="AV224">
            <v>208</v>
          </cell>
          <cell r="AW224">
            <v>192</v>
          </cell>
          <cell r="AX224">
            <v>216</v>
          </cell>
          <cell r="AY224">
            <v>235</v>
          </cell>
          <cell r="AZ224">
            <v>197</v>
          </cell>
          <cell r="BA224">
            <v>187</v>
          </cell>
          <cell r="BB224">
            <v>177</v>
          </cell>
        </row>
        <row r="225">
          <cell r="D225" t="str">
            <v>el</v>
          </cell>
          <cell r="Y225">
            <v>1468.9190000000001</v>
          </cell>
          <cell r="Z225">
            <v>1400.018</v>
          </cell>
          <cell r="AA225">
            <v>1135.1659999999999</v>
          </cell>
          <cell r="AB225">
            <v>1130.4580000000001</v>
          </cell>
          <cell r="AC225">
            <v>1200.9849999999999</v>
          </cell>
          <cell r="AD225">
            <v>1287.1949999999999</v>
          </cell>
          <cell r="AE225">
            <v>1234.905</v>
          </cell>
          <cell r="AF225">
            <v>1129.9087994719491</v>
          </cell>
          <cell r="AG225">
            <v>1091.4374502737949</v>
          </cell>
          <cell r="AH225">
            <v>1047.5396734569765</v>
          </cell>
          <cell r="AI225">
            <v>1174</v>
          </cell>
          <cell r="AJ225">
            <v>1441</v>
          </cell>
          <cell r="AK225">
            <v>1178</v>
          </cell>
          <cell r="AL225">
            <v>1133</v>
          </cell>
          <cell r="AM225">
            <v>1045</v>
          </cell>
          <cell r="AN225">
            <v>3788</v>
          </cell>
          <cell r="AO225">
            <v>4046</v>
          </cell>
          <cell r="AP225">
            <v>4113</v>
          </cell>
          <cell r="AQ225">
            <v>4112</v>
          </cell>
          <cell r="AR225">
            <v>3460</v>
          </cell>
          <cell r="AS225">
            <v>3656</v>
          </cell>
          <cell r="AT225">
            <v>3676</v>
          </cell>
          <cell r="AU225">
            <v>3632</v>
          </cell>
          <cell r="AV225">
            <v>3379</v>
          </cell>
          <cell r="AW225">
            <v>3450</v>
          </cell>
          <cell r="AX225">
            <v>3409</v>
          </cell>
          <cell r="AY225">
            <v>3551</v>
          </cell>
          <cell r="AZ225">
            <v>3711</v>
          </cell>
          <cell r="BA225">
            <v>3673</v>
          </cell>
          <cell r="BB225">
            <v>178</v>
          </cell>
        </row>
        <row r="226">
          <cell r="D226" t="str">
            <v>totalt</v>
          </cell>
          <cell r="Y226">
            <v>7734.4365502999999</v>
          </cell>
          <cell r="Z226">
            <v>7532.4582092999999</v>
          </cell>
          <cell r="AA226">
            <v>6138.4461699999993</v>
          </cell>
          <cell r="AB226">
            <v>6483.3600555746125</v>
          </cell>
          <cell r="AC226">
            <v>6301.1943657725005</v>
          </cell>
          <cell r="AD226">
            <v>6858.3273542900915</v>
          </cell>
          <cell r="AE226">
            <v>6578.1346940823041</v>
          </cell>
          <cell r="AF226">
            <v>5826.1648157527934</v>
          </cell>
          <cell r="AG226">
            <v>5775.569621626265</v>
          </cell>
          <cell r="AH226">
            <v>4821.1843093517273</v>
          </cell>
          <cell r="AI226">
            <v>7059.2967558311539</v>
          </cell>
          <cell r="AJ226">
            <v>7235.2555038451192</v>
          </cell>
          <cell r="AK226">
            <v>6041.2383179193794</v>
          </cell>
          <cell r="AL226">
            <v>6022.6914487131207</v>
          </cell>
          <cell r="AM226">
            <v>5858.8305799911541</v>
          </cell>
          <cell r="AN226">
            <v>22791</v>
          </cell>
          <cell r="AO226">
            <v>21578</v>
          </cell>
          <cell r="AP226">
            <v>21517</v>
          </cell>
          <cell r="AQ226">
            <v>21897</v>
          </cell>
          <cell r="AR226">
            <v>18439</v>
          </cell>
          <cell r="AS226">
            <v>20764</v>
          </cell>
          <cell r="AT226">
            <v>21543</v>
          </cell>
          <cell r="AU226">
            <v>21133</v>
          </cell>
          <cell r="AV226">
            <v>17782</v>
          </cell>
          <cell r="AW226">
            <v>17479</v>
          </cell>
          <cell r="AX226">
            <v>18106</v>
          </cell>
          <cell r="AY226">
            <v>18974</v>
          </cell>
          <cell r="AZ226">
            <v>20224</v>
          </cell>
          <cell r="BA226">
            <v>20692</v>
          </cell>
          <cell r="BB226">
            <v>179</v>
          </cell>
        </row>
        <row r="228">
          <cell r="D228" t="str">
            <v>biobränsle</v>
          </cell>
          <cell r="H228">
            <v>0</v>
          </cell>
          <cell r="I228">
            <v>0</v>
          </cell>
          <cell r="J228">
            <v>0</v>
          </cell>
          <cell r="K228">
            <v>168</v>
          </cell>
          <cell r="L228">
            <v>84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Y228">
            <v>0</v>
          </cell>
          <cell r="Z228">
            <v>23.26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0.14976593030396834</v>
          </cell>
          <cell r="AF228">
            <v>7.0890398107368737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4.5766027100000002E-2</v>
          </cell>
          <cell r="AL228">
            <v>0</v>
          </cell>
          <cell r="AM228">
            <v>4.5766027100000002E-2</v>
          </cell>
          <cell r="AN228">
            <v>1</v>
          </cell>
          <cell r="AO228">
            <v>0</v>
          </cell>
          <cell r="AP228">
            <v>1</v>
          </cell>
          <cell r="AQ228">
            <v>3</v>
          </cell>
          <cell r="AR228">
            <v>2</v>
          </cell>
          <cell r="AS228">
            <v>3</v>
          </cell>
          <cell r="AT228">
            <v>1</v>
          </cell>
          <cell r="AU228">
            <v>2</v>
          </cell>
          <cell r="AV228">
            <v>1</v>
          </cell>
          <cell r="AW228">
            <v>6</v>
          </cell>
          <cell r="AX228">
            <v>8</v>
          </cell>
          <cell r="AY228">
            <v>52</v>
          </cell>
          <cell r="AZ228">
            <v>63</v>
          </cell>
          <cell r="BA228">
            <v>69</v>
          </cell>
          <cell r="BB228">
            <v>181</v>
          </cell>
        </row>
        <row r="229">
          <cell r="D229" t="str">
            <v>kol</v>
          </cell>
          <cell r="H229">
            <v>2259</v>
          </cell>
          <cell r="I229">
            <v>2667</v>
          </cell>
          <cell r="J229">
            <v>2286</v>
          </cell>
          <cell r="K229">
            <v>3319</v>
          </cell>
          <cell r="L229">
            <v>2640</v>
          </cell>
          <cell r="M229">
            <v>2749</v>
          </cell>
          <cell r="N229">
            <v>2449</v>
          </cell>
          <cell r="O229">
            <v>2150</v>
          </cell>
          <cell r="P229">
            <v>2340</v>
          </cell>
          <cell r="Q229">
            <v>2476</v>
          </cell>
          <cell r="Y229">
            <v>1739.667735</v>
          </cell>
          <cell r="Z229">
            <v>1155.0991594999998</v>
          </cell>
          <cell r="AA229">
            <v>1223.6184675</v>
          </cell>
          <cell r="AB229">
            <v>1146.5040079999999</v>
          </cell>
          <cell r="AC229">
            <v>1260.3878755000001</v>
          </cell>
          <cell r="AD229">
            <v>1332.4903864999999</v>
          </cell>
          <cell r="AE229">
            <v>1068.4189646013244</v>
          </cell>
          <cell r="AF229">
            <v>1685.7684999999999</v>
          </cell>
          <cell r="AG229">
            <v>2154.4575</v>
          </cell>
          <cell r="AH229">
            <v>2461.2144505000001</v>
          </cell>
          <cell r="AI229">
            <v>2652.6285499999999</v>
          </cell>
          <cell r="AJ229">
            <v>3688.2800499999998</v>
          </cell>
          <cell r="AK229">
            <v>3870.4639999999999</v>
          </cell>
          <cell r="AL229">
            <v>3723.3561300000001</v>
          </cell>
          <cell r="AM229">
            <v>4182.5881954999995</v>
          </cell>
          <cell r="AN229">
            <v>14215</v>
          </cell>
          <cell r="AO229">
            <v>14433</v>
          </cell>
          <cell r="AP229">
            <v>14707</v>
          </cell>
          <cell r="AQ229">
            <v>13627</v>
          </cell>
          <cell r="AR229">
            <v>6273</v>
          </cell>
          <cell r="AS229">
            <v>11623</v>
          </cell>
          <cell r="AT229">
            <v>14080</v>
          </cell>
          <cell r="AU229">
            <v>11285</v>
          </cell>
          <cell r="AV229">
            <v>13710</v>
          </cell>
          <cell r="AW229">
            <v>12211</v>
          </cell>
          <cell r="AX229">
            <v>9455</v>
          </cell>
          <cell r="AY229">
            <v>12763</v>
          </cell>
          <cell r="AZ229">
            <v>12031</v>
          </cell>
          <cell r="BA229">
            <v>11465</v>
          </cell>
          <cell r="BB229">
            <v>182</v>
          </cell>
        </row>
        <row r="230">
          <cell r="D230" t="str">
            <v>koks</v>
          </cell>
          <cell r="H230">
            <v>29342</v>
          </cell>
          <cell r="I230">
            <v>34280</v>
          </cell>
          <cell r="J230">
            <v>39076</v>
          </cell>
          <cell r="K230">
            <v>31841</v>
          </cell>
          <cell r="L230">
            <v>24658</v>
          </cell>
          <cell r="M230">
            <v>26621</v>
          </cell>
          <cell r="N230">
            <v>29286</v>
          </cell>
          <cell r="O230">
            <v>25050</v>
          </cell>
          <cell r="P230">
            <v>21067</v>
          </cell>
          <cell r="Q230">
            <v>19861</v>
          </cell>
          <cell r="Y230">
            <v>5714.8586057000002</v>
          </cell>
          <cell r="Z230">
            <v>4243.733502</v>
          </cell>
          <cell r="AA230">
            <v>4598.5078149999999</v>
          </cell>
          <cell r="AB230">
            <v>4752.1446506999991</v>
          </cell>
          <cell r="AC230">
            <v>5297.5065135968625</v>
          </cell>
          <cell r="AD230">
            <v>5642.6168443699817</v>
          </cell>
          <cell r="AE230">
            <v>7332.3660999999993</v>
          </cell>
          <cell r="AF230">
            <v>6880.4242999999997</v>
          </cell>
          <cell r="AG230">
            <v>6475.2350999999999</v>
          </cell>
          <cell r="AH230">
            <v>6311.6009999999997</v>
          </cell>
          <cell r="AI230">
            <v>5919.6583700000001</v>
          </cell>
          <cell r="AJ230">
            <v>6545.3639999999996</v>
          </cell>
          <cell r="AK230">
            <v>7145.3557000000001</v>
          </cell>
          <cell r="AL230">
            <v>7332.3660999999993</v>
          </cell>
          <cell r="AM230">
            <v>6810.8096785999996</v>
          </cell>
          <cell r="AN230">
            <v>20294</v>
          </cell>
          <cell r="AO230">
            <v>20072</v>
          </cell>
          <cell r="AP230">
            <v>21753</v>
          </cell>
          <cell r="AQ230">
            <v>19706</v>
          </cell>
          <cell r="AR230">
            <v>12588</v>
          </cell>
          <cell r="AS230">
            <v>22602</v>
          </cell>
          <cell r="AT230">
            <v>22320</v>
          </cell>
          <cell r="AU230">
            <v>18230</v>
          </cell>
          <cell r="AV230">
            <v>17218</v>
          </cell>
          <cell r="AW230">
            <v>19085</v>
          </cell>
          <cell r="AX230">
            <v>19742</v>
          </cell>
          <cell r="AY230">
            <v>15608</v>
          </cell>
          <cell r="AZ230">
            <v>18268</v>
          </cell>
          <cell r="BA230">
            <v>16861</v>
          </cell>
          <cell r="BB230">
            <v>183</v>
          </cell>
        </row>
        <row r="231">
          <cell r="D231" t="str">
            <v>gasol</v>
          </cell>
          <cell r="H231">
            <v>3362</v>
          </cell>
          <cell r="I231">
            <v>3316</v>
          </cell>
          <cell r="J231">
            <v>3362</v>
          </cell>
          <cell r="K231">
            <v>2718</v>
          </cell>
          <cell r="L231">
            <v>2809</v>
          </cell>
          <cell r="M231">
            <v>2855</v>
          </cell>
          <cell r="N231">
            <v>3178</v>
          </cell>
          <cell r="O231">
            <v>3362</v>
          </cell>
          <cell r="P231">
            <v>2855</v>
          </cell>
          <cell r="Q231">
            <v>3086</v>
          </cell>
          <cell r="Y231">
            <v>1611.6619449</v>
          </cell>
          <cell r="Z231">
            <v>1515.433194</v>
          </cell>
          <cell r="AA231">
            <v>1544.5628549999999</v>
          </cell>
          <cell r="AB231">
            <v>1649.7596939999999</v>
          </cell>
          <cell r="AC231">
            <v>1919.6280289999997</v>
          </cell>
          <cell r="AD231">
            <v>2530.5922844300921</v>
          </cell>
          <cell r="AE231">
            <v>1933.2014019999999</v>
          </cell>
          <cell r="AF231">
            <v>2170.5607136714284</v>
          </cell>
          <cell r="AG231">
            <v>1870.8099409999998</v>
          </cell>
          <cell r="AH231">
            <v>2003.1381743999996</v>
          </cell>
          <cell r="AI231">
            <v>2026.4112</v>
          </cell>
          <cell r="AJ231">
            <v>2021.2939999999999</v>
          </cell>
          <cell r="AK231">
            <v>1509.5858000000001</v>
          </cell>
          <cell r="AL231">
            <v>2456.1562241700003</v>
          </cell>
          <cell r="AM231">
            <v>2416.8212796000003</v>
          </cell>
          <cell r="AN231">
            <v>8029</v>
          </cell>
          <cell r="AO231">
            <v>8324</v>
          </cell>
          <cell r="AP231">
            <v>7483</v>
          </cell>
          <cell r="AQ231">
            <v>7636</v>
          </cell>
          <cell r="AR231">
            <v>5135</v>
          </cell>
          <cell r="AS231">
            <v>6884</v>
          </cell>
          <cell r="AT231">
            <v>7084</v>
          </cell>
          <cell r="AU231">
            <v>6062</v>
          </cell>
          <cell r="AV231">
            <v>6035</v>
          </cell>
          <cell r="AW231">
            <v>6211</v>
          </cell>
          <cell r="AX231">
            <v>6206</v>
          </cell>
          <cell r="AY231">
            <v>6268</v>
          </cell>
          <cell r="AZ231">
            <v>6733</v>
          </cell>
          <cell r="BA231">
            <v>7206</v>
          </cell>
          <cell r="BB231">
            <v>184</v>
          </cell>
        </row>
        <row r="232">
          <cell r="D232" t="str">
            <v>bensin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1</v>
          </cell>
          <cell r="AQ232">
            <v>0</v>
          </cell>
          <cell r="AR232">
            <v>0</v>
          </cell>
          <cell r="AS232">
            <v>2</v>
          </cell>
          <cell r="AT232">
            <v>1</v>
          </cell>
          <cell r="AU232">
            <v>1</v>
          </cell>
          <cell r="AV232">
            <v>0</v>
          </cell>
          <cell r="AW232">
            <v>1</v>
          </cell>
          <cell r="AX232">
            <v>1</v>
          </cell>
          <cell r="AY232">
            <v>3</v>
          </cell>
          <cell r="AZ232">
            <v>3</v>
          </cell>
          <cell r="BA232">
            <v>2</v>
          </cell>
          <cell r="BB232">
            <v>185</v>
          </cell>
        </row>
        <row r="233">
          <cell r="D233" t="str">
            <v>lättoljor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5.2467600000000001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186</v>
          </cell>
        </row>
        <row r="234">
          <cell r="D234" t="str">
            <v>diesel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Y234">
            <v>6.8209949999999999</v>
          </cell>
          <cell r="Z234">
            <v>4.0728260000000001</v>
          </cell>
          <cell r="AA234">
            <v>4.0728260000000001</v>
          </cell>
          <cell r="AB234">
            <v>6.5046590000000002</v>
          </cell>
          <cell r="AC234">
            <v>5.0416050000000006</v>
          </cell>
          <cell r="AD234">
            <v>4.5374445000000003</v>
          </cell>
          <cell r="AE234">
            <v>0.35587799999999997</v>
          </cell>
          <cell r="AF234">
            <v>0</v>
          </cell>
          <cell r="AG234">
            <v>9.1535107836382199</v>
          </cell>
          <cell r="AH234">
            <v>7.3506262014424504</v>
          </cell>
          <cell r="AI234">
            <v>10.87405</v>
          </cell>
          <cell r="AJ234">
            <v>0</v>
          </cell>
          <cell r="AK234">
            <v>0</v>
          </cell>
          <cell r="AL234">
            <v>0.21819627</v>
          </cell>
          <cell r="AM234">
            <v>0.1394862</v>
          </cell>
          <cell r="AN234">
            <v>20</v>
          </cell>
          <cell r="AO234">
            <v>2</v>
          </cell>
          <cell r="AP234">
            <v>2</v>
          </cell>
          <cell r="AQ234">
            <v>34</v>
          </cell>
          <cell r="AR234">
            <v>24</v>
          </cell>
          <cell r="AS234">
            <v>65</v>
          </cell>
          <cell r="AT234">
            <v>7</v>
          </cell>
          <cell r="AU234">
            <v>3</v>
          </cell>
          <cell r="AV234">
            <v>5</v>
          </cell>
          <cell r="AW234">
            <v>31</v>
          </cell>
          <cell r="AX234">
            <v>29</v>
          </cell>
          <cell r="AY234">
            <v>159</v>
          </cell>
          <cell r="AZ234">
            <v>172</v>
          </cell>
          <cell r="BA234">
            <v>163</v>
          </cell>
          <cell r="BB234">
            <v>187</v>
          </cell>
        </row>
        <row r="235">
          <cell r="D235" t="str">
            <v>eo1</v>
          </cell>
          <cell r="H235">
            <v>4520</v>
          </cell>
          <cell r="I235">
            <v>4698</v>
          </cell>
          <cell r="J235">
            <v>4769</v>
          </cell>
          <cell r="K235">
            <v>4911</v>
          </cell>
          <cell r="L235">
            <v>4555</v>
          </cell>
          <cell r="M235">
            <v>4306</v>
          </cell>
          <cell r="N235">
            <v>4021</v>
          </cell>
          <cell r="O235">
            <v>3808</v>
          </cell>
          <cell r="P235">
            <v>3061</v>
          </cell>
          <cell r="Q235">
            <v>2562</v>
          </cell>
          <cell r="Y235">
            <v>379.26709299999999</v>
          </cell>
          <cell r="Z235">
            <v>226.51634700000002</v>
          </cell>
          <cell r="AA235">
            <v>385.97934750000002</v>
          </cell>
          <cell r="AB235">
            <v>417.17798550000003</v>
          </cell>
          <cell r="AC235">
            <v>412.41317450000003</v>
          </cell>
          <cell r="AD235">
            <v>392.54331950000005</v>
          </cell>
          <cell r="AE235">
            <v>371.74422749999997</v>
          </cell>
          <cell r="AF235">
            <v>229.50721287063493</v>
          </cell>
          <cell r="AG235">
            <v>187.54276325000001</v>
          </cell>
          <cell r="AH235">
            <v>165.77917596666666</v>
          </cell>
          <cell r="AI235">
            <v>211.5497</v>
          </cell>
          <cell r="AJ235">
            <v>219.1926</v>
          </cell>
          <cell r="AK235">
            <v>209.22929999999999</v>
          </cell>
          <cell r="AL235">
            <v>181.91292038999998</v>
          </cell>
          <cell r="AM235">
            <v>169.37610000000001</v>
          </cell>
          <cell r="AN235">
            <v>591</v>
          </cell>
          <cell r="AO235">
            <v>558</v>
          </cell>
          <cell r="AP235">
            <v>564</v>
          </cell>
          <cell r="AQ235">
            <v>523</v>
          </cell>
          <cell r="AR235">
            <v>432</v>
          </cell>
          <cell r="AS235">
            <v>556</v>
          </cell>
          <cell r="AT235">
            <v>507</v>
          </cell>
          <cell r="AU235">
            <v>450</v>
          </cell>
          <cell r="AV235">
            <v>404</v>
          </cell>
          <cell r="AW235">
            <v>354</v>
          </cell>
          <cell r="AX235">
            <v>373</v>
          </cell>
          <cell r="AY235">
            <v>687</v>
          </cell>
          <cell r="AZ235">
            <v>610</v>
          </cell>
          <cell r="BA235">
            <v>606</v>
          </cell>
          <cell r="BB235">
            <v>188</v>
          </cell>
        </row>
        <row r="236">
          <cell r="D236" t="str">
            <v>eo2-6</v>
          </cell>
          <cell r="H236">
            <v>33914</v>
          </cell>
          <cell r="I236">
            <v>33291</v>
          </cell>
          <cell r="J236">
            <v>32357</v>
          </cell>
          <cell r="K236">
            <v>31539</v>
          </cell>
          <cell r="L236">
            <v>28541</v>
          </cell>
          <cell r="M236">
            <v>25660</v>
          </cell>
          <cell r="N236">
            <v>25815</v>
          </cell>
          <cell r="O236">
            <v>21727</v>
          </cell>
          <cell r="P236">
            <v>17288</v>
          </cell>
          <cell r="Q236">
            <v>14056</v>
          </cell>
          <cell r="Y236">
            <v>1302.1262009999998</v>
          </cell>
          <cell r="Z236">
            <v>1313.3206574999999</v>
          </cell>
          <cell r="AA236">
            <v>1057.362384</v>
          </cell>
          <cell r="AB236">
            <v>1221.1345399360309</v>
          </cell>
          <cell r="AC236">
            <v>1283.2524554999998</v>
          </cell>
          <cell r="AD236">
            <v>1367.2595507999999</v>
          </cell>
          <cell r="AE236">
            <v>1361.0187764999998</v>
          </cell>
          <cell r="AF236">
            <v>1271.1386474999999</v>
          </cell>
          <cell r="AG236">
            <v>1222.27457448</v>
          </cell>
          <cell r="AH236">
            <v>1209.6057906333333</v>
          </cell>
          <cell r="AI236">
            <v>1317.3766199999998</v>
          </cell>
          <cell r="AJ236">
            <v>1345.1078</v>
          </cell>
          <cell r="AK236">
            <v>1408.6562000000001</v>
          </cell>
          <cell r="AL236">
            <v>1407.0881642000002</v>
          </cell>
          <cell r="AM236">
            <v>1396.9560000000001</v>
          </cell>
          <cell r="AN236">
            <v>4639</v>
          </cell>
          <cell r="AO236">
            <v>4999</v>
          </cell>
          <cell r="AP236">
            <v>4768</v>
          </cell>
          <cell r="AQ236">
            <v>4348</v>
          </cell>
          <cell r="AR236">
            <v>3893</v>
          </cell>
          <cell r="AS236">
            <v>4515</v>
          </cell>
          <cell r="AT236">
            <v>3897</v>
          </cell>
          <cell r="AU236">
            <v>3681</v>
          </cell>
          <cell r="AV236">
            <v>3656</v>
          </cell>
          <cell r="AW236">
            <v>2934</v>
          </cell>
          <cell r="AX236">
            <v>1251</v>
          </cell>
          <cell r="AY236">
            <v>1012</v>
          </cell>
          <cell r="AZ236">
            <v>1129</v>
          </cell>
          <cell r="BA236">
            <v>1341</v>
          </cell>
          <cell r="BB236">
            <v>189</v>
          </cell>
        </row>
        <row r="237">
          <cell r="D237" t="str">
            <v>övriga petroleumprodukter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87.620099999999994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292.02279202279203</v>
          </cell>
          <cell r="AJ237">
            <v>242.77016193682857</v>
          </cell>
          <cell r="AK237">
            <v>154.04151404151403</v>
          </cell>
          <cell r="AL237">
            <v>21.249406007249927</v>
          </cell>
          <cell r="AM237">
            <v>24.078966464402036</v>
          </cell>
          <cell r="AN237">
            <v>87</v>
          </cell>
          <cell r="AO237">
            <v>1673</v>
          </cell>
          <cell r="AP237">
            <v>1591</v>
          </cell>
          <cell r="AQ237">
            <v>1736</v>
          </cell>
          <cell r="AR237">
            <v>368</v>
          </cell>
          <cell r="AS237">
            <v>1270</v>
          </cell>
          <cell r="AT237">
            <v>650</v>
          </cell>
          <cell r="AU237">
            <v>809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70</v>
          </cell>
          <cell r="BB237">
            <v>190</v>
          </cell>
        </row>
        <row r="238">
          <cell r="D238" t="str">
            <v>naturgas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Y238">
            <v>119.16720000000002</v>
          </cell>
          <cell r="Z238">
            <v>125.6688</v>
          </cell>
          <cell r="AA238">
            <v>126.25200000000001</v>
          </cell>
          <cell r="AB238">
            <v>142.79652000000002</v>
          </cell>
          <cell r="AC238">
            <v>150.01848000000001</v>
          </cell>
          <cell r="AD238">
            <v>187.77096000000003</v>
          </cell>
          <cell r="AE238">
            <v>206.70552000000001</v>
          </cell>
          <cell r="AF238">
            <v>206.13204000000002</v>
          </cell>
          <cell r="AG238">
            <v>212.33340000000001</v>
          </cell>
          <cell r="AH238">
            <v>209.65067999999999</v>
          </cell>
          <cell r="AI238">
            <v>265.35600000000005</v>
          </cell>
          <cell r="AJ238">
            <v>239.76</v>
          </cell>
          <cell r="AK238">
            <v>267.3</v>
          </cell>
          <cell r="AL238">
            <v>260.388580725</v>
          </cell>
          <cell r="AM238">
            <v>309.33</v>
          </cell>
          <cell r="AN238">
            <v>1181</v>
          </cell>
          <cell r="AO238">
            <v>1316</v>
          </cell>
          <cell r="AP238">
            <v>1396</v>
          </cell>
          <cell r="AQ238">
            <v>1308</v>
          </cell>
          <cell r="AR238">
            <v>936</v>
          </cell>
          <cell r="AS238">
            <v>1182</v>
          </cell>
          <cell r="AT238">
            <v>1221</v>
          </cell>
          <cell r="AU238">
            <v>1260</v>
          </cell>
          <cell r="AV238">
            <v>1514</v>
          </cell>
          <cell r="AW238">
            <v>1588</v>
          </cell>
          <cell r="AX238">
            <v>3372</v>
          </cell>
          <cell r="AY238">
            <v>3270</v>
          </cell>
          <cell r="AZ238">
            <v>3559</v>
          </cell>
          <cell r="BA238">
            <v>2928</v>
          </cell>
          <cell r="BB238">
            <v>191</v>
          </cell>
        </row>
        <row r="239">
          <cell r="D239" t="str">
            <v>stadsgas</v>
          </cell>
          <cell r="H239">
            <v>2445</v>
          </cell>
          <cell r="I239">
            <v>2294</v>
          </cell>
          <cell r="J239">
            <v>3014</v>
          </cell>
          <cell r="K239">
            <v>4070</v>
          </cell>
          <cell r="L239">
            <v>3467</v>
          </cell>
          <cell r="M239">
            <v>3684</v>
          </cell>
          <cell r="N239">
            <v>3885</v>
          </cell>
          <cell r="O239">
            <v>4120</v>
          </cell>
          <cell r="P239">
            <v>4070</v>
          </cell>
          <cell r="Q239">
            <v>3400</v>
          </cell>
          <cell r="Y239">
            <v>0</v>
          </cell>
          <cell r="Z239">
            <v>14.444460000000001</v>
          </cell>
          <cell r="AA239">
            <v>5.9685160000000002</v>
          </cell>
          <cell r="AB239">
            <v>6.7946616344897661</v>
          </cell>
          <cell r="AC239">
            <v>9.0892357006077766</v>
          </cell>
          <cell r="AD239">
            <v>9.8529359999999997</v>
          </cell>
          <cell r="AE239">
            <v>12.541792000000001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192</v>
          </cell>
        </row>
        <row r="240">
          <cell r="D240" t="str">
            <v>masugnsgas m.m.</v>
          </cell>
          <cell r="H240">
            <v>10583</v>
          </cell>
          <cell r="I240">
            <v>12445</v>
          </cell>
          <cell r="J240">
            <v>13450</v>
          </cell>
          <cell r="K240">
            <v>12134</v>
          </cell>
          <cell r="L240">
            <v>8133</v>
          </cell>
          <cell r="M240">
            <v>8254</v>
          </cell>
          <cell r="N240">
            <v>10859</v>
          </cell>
          <cell r="O240">
            <v>8502</v>
          </cell>
          <cell r="P240">
            <v>4561</v>
          </cell>
          <cell r="Q240">
            <v>5558</v>
          </cell>
          <cell r="Y240">
            <v>2601.1111111111109</v>
          </cell>
          <cell r="Z240">
            <v>2556.666666666667</v>
          </cell>
          <cell r="AA240">
            <v>2636.3888888888887</v>
          </cell>
          <cell r="AB240">
            <v>2688.0555555555557</v>
          </cell>
          <cell r="AC240">
            <v>2725.5555555555557</v>
          </cell>
          <cell r="AD240">
            <v>2518.6111111111113</v>
          </cell>
          <cell r="AE240">
            <v>2661.9444444444443</v>
          </cell>
          <cell r="AF240">
            <v>2613.8888888888887</v>
          </cell>
          <cell r="AG240">
            <v>2511.666666666667</v>
          </cell>
          <cell r="AH240">
            <v>2686.165958952583</v>
          </cell>
          <cell r="AI240">
            <v>2328.9684444444438</v>
          </cell>
          <cell r="AJ240">
            <v>2573.9684444444442</v>
          </cell>
          <cell r="AK240">
            <v>2389.4444444444443</v>
          </cell>
          <cell r="AL240">
            <v>2514.8782222222217</v>
          </cell>
          <cell r="AM240">
            <v>2514.6706666666669</v>
          </cell>
          <cell r="AN240">
            <v>8645</v>
          </cell>
          <cell r="AO240">
            <v>9127</v>
          </cell>
          <cell r="AP240">
            <v>12130</v>
          </cell>
          <cell r="AQ240">
            <v>9957</v>
          </cell>
          <cell r="AR240">
            <v>6445</v>
          </cell>
          <cell r="AS240">
            <v>9020</v>
          </cell>
          <cell r="AT240">
            <v>6790</v>
          </cell>
          <cell r="AU240">
            <v>7659</v>
          </cell>
          <cell r="AV240">
            <v>7428</v>
          </cell>
          <cell r="AW240">
            <v>8327</v>
          </cell>
          <cell r="AX240">
            <v>8335</v>
          </cell>
          <cell r="AY240">
            <v>7569</v>
          </cell>
          <cell r="AZ240">
            <v>6300</v>
          </cell>
          <cell r="BA240">
            <v>5947</v>
          </cell>
          <cell r="BB240">
            <v>193</v>
          </cell>
        </row>
        <row r="241">
          <cell r="D241" t="str">
            <v>övriga bränslen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0.194221</v>
          </cell>
          <cell r="AH241">
            <v>0.20934</v>
          </cell>
          <cell r="AI241">
            <v>0</v>
          </cell>
          <cell r="AJ241">
            <v>1.6817677800000002</v>
          </cell>
          <cell r="AK241">
            <v>1.4540989000000002</v>
          </cell>
          <cell r="AL241">
            <v>1.1391585</v>
          </cell>
          <cell r="AM241">
            <v>0.93040000000000012</v>
          </cell>
          <cell r="AN241">
            <v>12</v>
          </cell>
          <cell r="AO241">
            <v>12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106</v>
          </cell>
          <cell r="AX241">
            <v>17</v>
          </cell>
          <cell r="AY241">
            <v>33</v>
          </cell>
          <cell r="AZ241">
            <v>2</v>
          </cell>
          <cell r="BA241">
            <v>0</v>
          </cell>
          <cell r="BB241">
            <v>194</v>
          </cell>
        </row>
        <row r="242">
          <cell r="D242" t="str">
            <v>fjärrvärme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Y242">
            <v>165.35599999999999</v>
          </cell>
          <cell r="Z242">
            <v>132.96299999999999</v>
          </cell>
          <cell r="AA242">
            <v>173.9</v>
          </cell>
          <cell r="AB242">
            <v>189.1</v>
          </cell>
          <cell r="AC242">
            <v>181.1</v>
          </cell>
          <cell r="AD242">
            <v>204.40010178003774</v>
          </cell>
          <cell r="AE242">
            <v>257.83345802097807</v>
          </cell>
          <cell r="AF242">
            <v>224.68247977798748</v>
          </cell>
          <cell r="AG242">
            <v>204.17239999999998</v>
          </cell>
          <cell r="AH242">
            <v>136.25579999999999</v>
          </cell>
          <cell r="AI242">
            <v>224.23385120328132</v>
          </cell>
          <cell r="AJ242">
            <v>351.04712339387953</v>
          </cell>
          <cell r="AK242">
            <v>357.08613780436406</v>
          </cell>
          <cell r="AL242">
            <v>209</v>
          </cell>
          <cell r="AM242">
            <v>307</v>
          </cell>
          <cell r="AN242">
            <v>865</v>
          </cell>
          <cell r="AO242">
            <v>751</v>
          </cell>
          <cell r="AP242">
            <v>829</v>
          </cell>
          <cell r="AQ242">
            <v>721</v>
          </cell>
          <cell r="AR242">
            <v>744</v>
          </cell>
          <cell r="AS242">
            <v>881</v>
          </cell>
          <cell r="AT242">
            <v>782</v>
          </cell>
          <cell r="AU242">
            <v>867</v>
          </cell>
          <cell r="AV242">
            <v>940</v>
          </cell>
          <cell r="AW242">
            <v>819</v>
          </cell>
          <cell r="AX242">
            <v>614</v>
          </cell>
          <cell r="AY242">
            <v>696</v>
          </cell>
          <cell r="AZ242">
            <v>681</v>
          </cell>
          <cell r="BA242">
            <v>584</v>
          </cell>
          <cell r="BB242">
            <v>195</v>
          </cell>
        </row>
        <row r="243">
          <cell r="D243" t="str">
            <v>el</v>
          </cell>
          <cell r="H243">
            <v>28908</v>
          </cell>
          <cell r="I243">
            <v>19628</v>
          </cell>
          <cell r="J243">
            <v>27857</v>
          </cell>
          <cell r="K243">
            <v>27828</v>
          </cell>
          <cell r="L243">
            <v>24804</v>
          </cell>
          <cell r="M243">
            <v>25362</v>
          </cell>
          <cell r="N243">
            <v>26291</v>
          </cell>
          <cell r="O243">
            <v>25668</v>
          </cell>
          <cell r="P243">
            <v>25445</v>
          </cell>
          <cell r="Q243">
            <v>24480</v>
          </cell>
          <cell r="Y243">
            <v>4300.0889999999999</v>
          </cell>
          <cell r="Z243">
            <v>4757.8010000000004</v>
          </cell>
          <cell r="AA243">
            <v>4698.2619999999997</v>
          </cell>
          <cell r="AB243">
            <v>4698.2619999999997</v>
          </cell>
          <cell r="AC243">
            <v>4968.607</v>
          </cell>
          <cell r="AD243">
            <v>5323.8940000000002</v>
          </cell>
          <cell r="AE243">
            <v>4937.8909999999996</v>
          </cell>
          <cell r="AF243">
            <v>5094.2552048800244</v>
          </cell>
          <cell r="AG243">
            <v>4927.8914591604871</v>
          </cell>
          <cell r="AH243">
            <v>4857.0220614006685</v>
          </cell>
          <cell r="AI243">
            <v>5311</v>
          </cell>
          <cell r="AJ243">
            <v>4959</v>
          </cell>
          <cell r="AK243">
            <v>4873</v>
          </cell>
          <cell r="AL243">
            <v>4580</v>
          </cell>
          <cell r="AM243">
            <v>5356</v>
          </cell>
          <cell r="AN243">
            <v>18989</v>
          </cell>
          <cell r="AO243">
            <v>18554</v>
          </cell>
          <cell r="AP243">
            <v>18621</v>
          </cell>
          <cell r="AQ243">
            <v>18005</v>
          </cell>
          <cell r="AR243">
            <v>13141</v>
          </cell>
          <cell r="AS243">
            <v>16239</v>
          </cell>
          <cell r="AT243">
            <v>17405</v>
          </cell>
          <cell r="AU243">
            <v>15687</v>
          </cell>
          <cell r="AV243">
            <v>15515</v>
          </cell>
          <cell r="AW243">
            <v>15525</v>
          </cell>
          <cell r="AX243">
            <v>15769</v>
          </cell>
          <cell r="AY243">
            <v>15795</v>
          </cell>
          <cell r="AZ243">
            <v>16424</v>
          </cell>
          <cell r="BA243">
            <v>16563</v>
          </cell>
          <cell r="BB243">
            <v>196</v>
          </cell>
        </row>
        <row r="244">
          <cell r="D244" t="str">
            <v>totalt</v>
          </cell>
          <cell r="Y244">
            <v>17940.12588571111</v>
          </cell>
          <cell r="Z244">
            <v>16068.979612666666</v>
          </cell>
          <cell r="AA244">
            <v>16454.875099888886</v>
          </cell>
          <cell r="AB244">
            <v>17005.854374326074</v>
          </cell>
          <cell r="AC244">
            <v>18212.599924353024</v>
          </cell>
          <cell r="AD244">
            <v>19514.568938991222</v>
          </cell>
          <cell r="AE244">
            <v>20144.17132899705</v>
          </cell>
          <cell r="AF244">
            <v>20383.447027399699</v>
          </cell>
          <cell r="AG244">
            <v>19775.731536340791</v>
          </cell>
          <cell r="AH244">
            <v>20047.993058054693</v>
          </cell>
          <cell r="AI244">
            <v>20565.326337670514</v>
          </cell>
          <cell r="AJ244">
            <v>22187.465947555153</v>
          </cell>
          <cell r="AK244">
            <v>22185.662961217422</v>
          </cell>
          <cell r="AL244">
            <v>22687.753102484472</v>
          </cell>
          <cell r="AM244">
            <v>23488.746539058167</v>
          </cell>
          <cell r="AN244">
            <v>77568</v>
          </cell>
          <cell r="AO244">
            <v>79821</v>
          </cell>
          <cell r="AP244">
            <v>83846</v>
          </cell>
          <cell r="AQ244">
            <v>77604</v>
          </cell>
          <cell r="AR244">
            <v>49981</v>
          </cell>
          <cell r="AS244">
            <v>74842</v>
          </cell>
          <cell r="AT244">
            <v>74745</v>
          </cell>
          <cell r="AU244">
            <v>65996</v>
          </cell>
          <cell r="AV244">
            <v>66426</v>
          </cell>
          <cell r="AW244">
            <v>67198</v>
          </cell>
          <cell r="AX244">
            <v>65172</v>
          </cell>
          <cell r="AY244">
            <v>63915</v>
          </cell>
          <cell r="AZ244">
            <v>65975</v>
          </cell>
          <cell r="BA244">
            <v>63805</v>
          </cell>
          <cell r="BB244">
            <v>197</v>
          </cell>
        </row>
        <row r="246">
          <cell r="D246" t="str">
            <v>biobränsle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9.5683788805313086E-2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5.6056600000000002E-3</v>
          </cell>
          <cell r="AL246">
            <v>1.4103701000000002</v>
          </cell>
          <cell r="AM246">
            <v>5.6056600000000002E-3</v>
          </cell>
          <cell r="AN246">
            <v>0</v>
          </cell>
          <cell r="AO246">
            <v>0</v>
          </cell>
          <cell r="AP246">
            <v>0</v>
          </cell>
          <cell r="AQ246">
            <v>1</v>
          </cell>
          <cell r="AR246">
            <v>3</v>
          </cell>
          <cell r="AS246">
            <v>5</v>
          </cell>
          <cell r="AT246">
            <v>7</v>
          </cell>
          <cell r="AU246">
            <v>5</v>
          </cell>
          <cell r="AV246">
            <v>1</v>
          </cell>
          <cell r="AW246">
            <v>5</v>
          </cell>
          <cell r="AX246">
            <v>7</v>
          </cell>
          <cell r="AY246">
            <v>18</v>
          </cell>
          <cell r="AZ246">
            <v>25</v>
          </cell>
          <cell r="BA246">
            <v>27</v>
          </cell>
          <cell r="BB246">
            <v>199</v>
          </cell>
        </row>
        <row r="247">
          <cell r="D247" t="str">
            <v>kol</v>
          </cell>
          <cell r="Y247">
            <v>469.52054499999997</v>
          </cell>
          <cell r="Z247">
            <v>491.06511999999992</v>
          </cell>
          <cell r="AA247">
            <v>465.43841500000002</v>
          </cell>
          <cell r="AB247">
            <v>535.40158750000001</v>
          </cell>
          <cell r="AC247">
            <v>519.41324499999996</v>
          </cell>
          <cell r="AD247">
            <v>470.01947200000001</v>
          </cell>
          <cell r="AE247">
            <v>566.46683175067039</v>
          </cell>
          <cell r="AF247">
            <v>408.21299999999997</v>
          </cell>
          <cell r="AG247">
            <v>430.89150000000001</v>
          </cell>
          <cell r="AH247">
            <v>408.31883300000004</v>
          </cell>
          <cell r="AI247">
            <v>497.4151</v>
          </cell>
          <cell r="AJ247">
            <v>424.84390000000002</v>
          </cell>
          <cell r="AK247">
            <v>438.45100000000002</v>
          </cell>
          <cell r="AL247">
            <v>389.48055899999997</v>
          </cell>
          <cell r="AM247">
            <v>464.63710799999996</v>
          </cell>
          <cell r="AN247">
            <v>1484</v>
          </cell>
          <cell r="AO247">
            <v>1321</v>
          </cell>
          <cell r="AP247">
            <v>1306</v>
          </cell>
          <cell r="AQ247">
            <v>1720</v>
          </cell>
          <cell r="AR247">
            <v>1516</v>
          </cell>
          <cell r="AS247">
            <v>1337</v>
          </cell>
          <cell r="AT247">
            <v>1295</v>
          </cell>
          <cell r="AU247">
            <v>1286</v>
          </cell>
          <cell r="AV247">
            <v>1254</v>
          </cell>
          <cell r="AW247">
            <v>1249</v>
          </cell>
          <cell r="AX247">
            <v>1351</v>
          </cell>
          <cell r="AY247">
            <v>1285</v>
          </cell>
          <cell r="AZ247">
            <v>1454</v>
          </cell>
          <cell r="BA247">
            <v>1598</v>
          </cell>
          <cell r="BB247">
            <v>200</v>
          </cell>
        </row>
        <row r="248">
          <cell r="D248" t="str">
            <v>koks</v>
          </cell>
          <cell r="Y248">
            <v>53.523934899999993</v>
          </cell>
          <cell r="Z248">
            <v>135.33319279999998</v>
          </cell>
          <cell r="AA248">
            <v>205.78156889999997</v>
          </cell>
          <cell r="AB248">
            <v>213.56587680000001</v>
          </cell>
          <cell r="AC248">
            <v>221.96109586458854</v>
          </cell>
          <cell r="AD248">
            <v>214.07236513036989</v>
          </cell>
          <cell r="AE248">
            <v>31.168399999999998</v>
          </cell>
          <cell r="AF248">
            <v>62.336799999999997</v>
          </cell>
          <cell r="AG248">
            <v>54.544699999999999</v>
          </cell>
          <cell r="AH248">
            <v>31.168399999999998</v>
          </cell>
          <cell r="AI248">
            <v>423.89023999999995</v>
          </cell>
          <cell r="AJ248">
            <v>38.181290000000004</v>
          </cell>
          <cell r="AK248">
            <v>46.752600000000001</v>
          </cell>
          <cell r="AL248">
            <v>52.025280306999996</v>
          </cell>
          <cell r="AM248">
            <v>59.274504700000001</v>
          </cell>
          <cell r="AN248">
            <v>236</v>
          </cell>
          <cell r="AO248">
            <v>201</v>
          </cell>
          <cell r="AP248">
            <v>343</v>
          </cell>
          <cell r="AQ248">
            <v>189</v>
          </cell>
          <cell r="AR248">
            <v>166</v>
          </cell>
          <cell r="AS248">
            <v>131</v>
          </cell>
          <cell r="AT248">
            <v>130</v>
          </cell>
          <cell r="AU248">
            <v>149</v>
          </cell>
          <cell r="AV248">
            <v>106</v>
          </cell>
          <cell r="AW248">
            <v>3</v>
          </cell>
          <cell r="AX248">
            <v>0</v>
          </cell>
          <cell r="AY248">
            <v>94</v>
          </cell>
          <cell r="AZ248">
            <v>135</v>
          </cell>
          <cell r="BA248">
            <v>100</v>
          </cell>
          <cell r="BB248">
            <v>201</v>
          </cell>
        </row>
        <row r="249">
          <cell r="D249" t="str">
            <v>gasol</v>
          </cell>
          <cell r="Y249">
            <v>176.87740060000002</v>
          </cell>
          <cell r="Z249">
            <v>174.62445</v>
          </cell>
          <cell r="AA249">
            <v>157.660932</v>
          </cell>
          <cell r="AB249">
            <v>154.92322999999999</v>
          </cell>
          <cell r="AC249">
            <v>151.865703</v>
          </cell>
          <cell r="AD249">
            <v>135.14378713562576</v>
          </cell>
          <cell r="AE249">
            <v>123.657138</v>
          </cell>
          <cell r="AF249">
            <v>84.919933999999998</v>
          </cell>
          <cell r="AG249">
            <v>104.64418139999999</v>
          </cell>
          <cell r="AH249">
            <v>130.6813478666667</v>
          </cell>
          <cell r="AI249">
            <v>163.75040000000001</v>
          </cell>
          <cell r="AJ249">
            <v>115.137</v>
          </cell>
          <cell r="AK249">
            <v>166.31030000000001</v>
          </cell>
          <cell r="AL249">
            <v>199.729075475</v>
          </cell>
          <cell r="AM249">
            <v>197.94763630000003</v>
          </cell>
          <cell r="AN249">
            <v>705</v>
          </cell>
          <cell r="AO249">
            <v>781</v>
          </cell>
          <cell r="AP249">
            <v>775</v>
          </cell>
          <cell r="AQ249">
            <v>758</v>
          </cell>
          <cell r="AR249">
            <v>526</v>
          </cell>
          <cell r="AS249">
            <v>728</v>
          </cell>
          <cell r="AT249">
            <v>705</v>
          </cell>
          <cell r="AU249">
            <v>796</v>
          </cell>
          <cell r="AV249">
            <v>787</v>
          </cell>
          <cell r="AW249">
            <v>814</v>
          </cell>
          <cell r="AX249">
            <v>681</v>
          </cell>
          <cell r="AY249">
            <v>698</v>
          </cell>
          <cell r="AZ249">
            <v>839</v>
          </cell>
          <cell r="BA249">
            <v>836</v>
          </cell>
          <cell r="BB249">
            <v>202</v>
          </cell>
        </row>
        <row r="250">
          <cell r="D250" t="str">
            <v>bensin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203</v>
          </cell>
        </row>
        <row r="251">
          <cell r="D251" t="str">
            <v>lättoljor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204</v>
          </cell>
        </row>
        <row r="252">
          <cell r="D252" t="str">
            <v>diesel</v>
          </cell>
          <cell r="Y252">
            <v>0.26690849999999999</v>
          </cell>
          <cell r="Z252">
            <v>0.158168</v>
          </cell>
          <cell r="AA252">
            <v>0.257023</v>
          </cell>
          <cell r="AB252">
            <v>0.2273665</v>
          </cell>
          <cell r="AC252">
            <v>0.17793899999999999</v>
          </cell>
          <cell r="AD252">
            <v>0.16805350000000002</v>
          </cell>
          <cell r="AE252">
            <v>0.13839700000000002</v>
          </cell>
          <cell r="AF252">
            <v>2.8700461110568947</v>
          </cell>
          <cell r="AG252">
            <v>0.87882760556612605</v>
          </cell>
          <cell r="AH252">
            <v>1.012454047747386</v>
          </cell>
          <cell r="AI252">
            <v>1.9771000000000001</v>
          </cell>
          <cell r="AJ252">
            <v>0</v>
          </cell>
          <cell r="AK252">
            <v>0</v>
          </cell>
          <cell r="AL252">
            <v>0.27369185100000004</v>
          </cell>
          <cell r="AM252">
            <v>0</v>
          </cell>
          <cell r="AN252">
            <v>0</v>
          </cell>
          <cell r="AO252">
            <v>3</v>
          </cell>
          <cell r="AP252">
            <v>1</v>
          </cell>
          <cell r="AQ252">
            <v>0</v>
          </cell>
          <cell r="AR252">
            <v>2</v>
          </cell>
          <cell r="AS252">
            <v>5</v>
          </cell>
          <cell r="AT252">
            <v>1</v>
          </cell>
          <cell r="AU252">
            <v>1</v>
          </cell>
          <cell r="AV252">
            <v>0</v>
          </cell>
          <cell r="AW252">
            <v>0</v>
          </cell>
          <cell r="AX252">
            <v>2</v>
          </cell>
          <cell r="AY252">
            <v>29</v>
          </cell>
          <cell r="AZ252">
            <v>44</v>
          </cell>
          <cell r="BA252">
            <v>46</v>
          </cell>
          <cell r="BB252">
            <v>205</v>
          </cell>
        </row>
        <row r="253">
          <cell r="D253" t="str">
            <v>eo1</v>
          </cell>
          <cell r="Y253">
            <v>110.1343555</v>
          </cell>
          <cell r="Z253">
            <v>87.120911500000005</v>
          </cell>
          <cell r="AA253">
            <v>89.977821000000006</v>
          </cell>
          <cell r="AB253">
            <v>93.674998000000016</v>
          </cell>
          <cell r="AC253">
            <v>86.359728000000004</v>
          </cell>
          <cell r="AD253">
            <v>81.762970500000009</v>
          </cell>
          <cell r="AE253">
            <v>76.17766300000001</v>
          </cell>
          <cell r="AF253">
            <v>67.676133000000007</v>
          </cell>
          <cell r="AG253">
            <v>82.416402050000002</v>
          </cell>
          <cell r="AH253">
            <v>61.107641914285729</v>
          </cell>
          <cell r="AI253">
            <v>112.69470000000001</v>
          </cell>
          <cell r="AJ253">
            <v>109.5963</v>
          </cell>
          <cell r="AK253">
            <v>49.816500000000005</v>
          </cell>
          <cell r="AL253">
            <v>52.144325412000008</v>
          </cell>
          <cell r="AM253">
            <v>49.816500000000005</v>
          </cell>
          <cell r="AN253">
            <v>340</v>
          </cell>
          <cell r="AO253">
            <v>276</v>
          </cell>
          <cell r="AP253">
            <v>199</v>
          </cell>
          <cell r="AQ253">
            <v>292</v>
          </cell>
          <cell r="AR253">
            <v>167</v>
          </cell>
          <cell r="AS253">
            <v>221</v>
          </cell>
          <cell r="AT253">
            <v>238</v>
          </cell>
          <cell r="AU253">
            <v>219</v>
          </cell>
          <cell r="AV253">
            <v>218</v>
          </cell>
          <cell r="AW253">
            <v>248</v>
          </cell>
          <cell r="AX253">
            <v>321</v>
          </cell>
          <cell r="AY253">
            <v>489</v>
          </cell>
          <cell r="AZ253">
            <v>502</v>
          </cell>
          <cell r="BA253">
            <v>459</v>
          </cell>
          <cell r="BB253">
            <v>206</v>
          </cell>
        </row>
        <row r="254">
          <cell r="D254" t="str">
            <v>eo2-6</v>
          </cell>
          <cell r="Y254">
            <v>143.8947336</v>
          </cell>
          <cell r="Z254">
            <v>148.71862499999997</v>
          </cell>
          <cell r="AA254">
            <v>110.49523439999999</v>
          </cell>
          <cell r="AB254">
            <v>121.37194284378366</v>
          </cell>
          <cell r="AC254">
            <v>84.82910369999999</v>
          </cell>
          <cell r="AD254">
            <v>80.037660000000002</v>
          </cell>
          <cell r="AE254">
            <v>82.211655899999997</v>
          </cell>
          <cell r="AF254">
            <v>101.47477379999999</v>
          </cell>
          <cell r="AG254">
            <v>103.38918809999998</v>
          </cell>
          <cell r="AH254">
            <v>120.24576824999998</v>
          </cell>
          <cell r="AI254">
            <v>175.21757999999997</v>
          </cell>
          <cell r="AJ254">
            <v>63.548400000000001</v>
          </cell>
          <cell r="AK254">
            <v>84.731200000000001</v>
          </cell>
          <cell r="AL254">
            <v>86.312090589999997</v>
          </cell>
          <cell r="AM254">
            <v>84.664000000000001</v>
          </cell>
          <cell r="AN254">
            <v>314</v>
          </cell>
          <cell r="AO254">
            <v>309</v>
          </cell>
          <cell r="AP254">
            <v>238</v>
          </cell>
          <cell r="AQ254">
            <v>196</v>
          </cell>
          <cell r="AR254">
            <v>210</v>
          </cell>
          <cell r="AS254">
            <v>254</v>
          </cell>
          <cell r="AT254">
            <v>173</v>
          </cell>
          <cell r="AU254">
            <v>198</v>
          </cell>
          <cell r="AV254">
            <v>179</v>
          </cell>
          <cell r="AW254">
            <v>91</v>
          </cell>
          <cell r="AX254">
            <v>146</v>
          </cell>
          <cell r="AY254">
            <v>159</v>
          </cell>
          <cell r="AZ254">
            <v>113</v>
          </cell>
          <cell r="BA254">
            <v>128</v>
          </cell>
          <cell r="BB254">
            <v>207</v>
          </cell>
        </row>
        <row r="255">
          <cell r="D255" t="str">
            <v>övriga petroleumprodukter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190.52767751462613</v>
          </cell>
          <cell r="AG255">
            <v>0</v>
          </cell>
          <cell r="AH255">
            <v>0</v>
          </cell>
          <cell r="AI255">
            <v>11.680911680911681</v>
          </cell>
          <cell r="AJ255">
            <v>0</v>
          </cell>
          <cell r="AK255">
            <v>269.57264957264954</v>
          </cell>
          <cell r="AL255">
            <v>286.11290754529648</v>
          </cell>
          <cell r="AM255">
            <v>0</v>
          </cell>
          <cell r="AN255">
            <v>0</v>
          </cell>
          <cell r="AO255">
            <v>1</v>
          </cell>
          <cell r="AP255">
            <v>1</v>
          </cell>
          <cell r="AQ255">
            <v>0</v>
          </cell>
          <cell r="AR255">
            <v>0</v>
          </cell>
          <cell r="AS255">
            <v>44</v>
          </cell>
          <cell r="AT255">
            <v>49</v>
          </cell>
          <cell r="AU255">
            <v>58</v>
          </cell>
          <cell r="AV255">
            <v>118</v>
          </cell>
          <cell r="AW255">
            <v>176</v>
          </cell>
          <cell r="AX255">
            <v>148</v>
          </cell>
          <cell r="AY255">
            <v>95</v>
          </cell>
          <cell r="AZ255">
            <v>67</v>
          </cell>
          <cell r="BA255">
            <v>92</v>
          </cell>
          <cell r="BB255">
            <v>208</v>
          </cell>
        </row>
        <row r="256">
          <cell r="D256" t="str">
            <v>naturgas</v>
          </cell>
          <cell r="Y256">
            <v>49.377600000000001</v>
          </cell>
          <cell r="Z256">
            <v>40.3812</v>
          </cell>
          <cell r="AA256">
            <v>39.474000000000004</v>
          </cell>
          <cell r="AB256">
            <v>31.483080000000001</v>
          </cell>
          <cell r="AC256">
            <v>26.73</v>
          </cell>
          <cell r="AD256">
            <v>30.141720000000003</v>
          </cell>
          <cell r="AE256">
            <v>58.514400000000002</v>
          </cell>
          <cell r="AF256">
            <v>63.724320000000006</v>
          </cell>
          <cell r="AG256">
            <v>128.81916000000001</v>
          </cell>
          <cell r="AH256">
            <v>95.455259999999996</v>
          </cell>
          <cell r="AI256">
            <v>95.256000000000014</v>
          </cell>
          <cell r="AJ256">
            <v>89.91</v>
          </cell>
          <cell r="AK256">
            <v>69.3</v>
          </cell>
          <cell r="AL256">
            <v>75.763754999999989</v>
          </cell>
          <cell r="AM256">
            <v>77.332499999999996</v>
          </cell>
          <cell r="AN256">
            <v>302</v>
          </cell>
          <cell r="AO256">
            <v>313</v>
          </cell>
          <cell r="AP256">
            <v>315</v>
          </cell>
          <cell r="AQ256">
            <v>325</v>
          </cell>
          <cell r="AR256">
            <v>299</v>
          </cell>
          <cell r="AS256">
            <v>318</v>
          </cell>
          <cell r="AT256">
            <v>271</v>
          </cell>
          <cell r="AU256">
            <v>264</v>
          </cell>
          <cell r="AV256">
            <v>254</v>
          </cell>
          <cell r="AW256">
            <v>246</v>
          </cell>
          <cell r="AX256">
            <v>274</v>
          </cell>
          <cell r="AY256">
            <v>285</v>
          </cell>
          <cell r="AZ256">
            <v>289</v>
          </cell>
          <cell r="BA256">
            <v>309</v>
          </cell>
          <cell r="BB256">
            <v>209</v>
          </cell>
        </row>
        <row r="257">
          <cell r="D257" t="str">
            <v>stadsgas</v>
          </cell>
          <cell r="Y257">
            <v>0</v>
          </cell>
          <cell r="Z257">
            <v>3.2564000000000003E-2</v>
          </cell>
          <cell r="AA257">
            <v>3.2564000000000003E-2</v>
          </cell>
          <cell r="AB257">
            <v>6.077514878792277E-2</v>
          </cell>
          <cell r="AC257">
            <v>7.7268670385479965E-2</v>
          </cell>
          <cell r="AD257">
            <v>4.1867999999999995E-2</v>
          </cell>
          <cell r="AE257">
            <v>2.7912000000000003E-2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210</v>
          </cell>
        </row>
        <row r="258">
          <cell r="D258" t="str">
            <v>masugnsgas m.m.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211</v>
          </cell>
        </row>
        <row r="259">
          <cell r="D259" t="str">
            <v>övriga bränslen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887.0084700000001</v>
          </cell>
          <cell r="AH259">
            <v>0.55824000000000007</v>
          </cell>
          <cell r="AI259">
            <v>0</v>
          </cell>
          <cell r="AJ259">
            <v>0.35052820000000001</v>
          </cell>
          <cell r="AK259">
            <v>3.8379000000000004E-3</v>
          </cell>
          <cell r="AL259">
            <v>0</v>
          </cell>
          <cell r="AM259">
            <v>0.38379000000000002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42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212</v>
          </cell>
        </row>
        <row r="260">
          <cell r="D260" t="str">
            <v>fjärrvärme</v>
          </cell>
          <cell r="Y260">
            <v>26.231000000000002</v>
          </cell>
          <cell r="Z260">
            <v>26.896000000000001</v>
          </cell>
          <cell r="AA260">
            <v>13</v>
          </cell>
          <cell r="AB260">
            <v>44.1</v>
          </cell>
          <cell r="AC260">
            <v>39.799999999999997</v>
          </cell>
          <cell r="AD260">
            <v>36.429534776195204</v>
          </cell>
          <cell r="AE260">
            <v>33.654029955570486</v>
          </cell>
          <cell r="AF260">
            <v>35.196177580189996</v>
          </cell>
          <cell r="AG260">
            <v>39.002300000000005</v>
          </cell>
          <cell r="AH260">
            <v>36.074714285714293</v>
          </cell>
          <cell r="AI260">
            <v>32.78536262369758</v>
          </cell>
          <cell r="AJ260">
            <v>0</v>
          </cell>
          <cell r="AK260">
            <v>0</v>
          </cell>
          <cell r="AL260">
            <v>58</v>
          </cell>
          <cell r="AM260">
            <v>70</v>
          </cell>
          <cell r="AN260">
            <v>262</v>
          </cell>
          <cell r="AO260">
            <v>253</v>
          </cell>
          <cell r="AP260">
            <v>282</v>
          </cell>
          <cell r="AQ260">
            <v>295</v>
          </cell>
          <cell r="AR260">
            <v>296</v>
          </cell>
          <cell r="AS260">
            <v>372</v>
          </cell>
          <cell r="AT260">
            <v>232</v>
          </cell>
          <cell r="AU260">
            <v>273</v>
          </cell>
          <cell r="AV260">
            <v>204</v>
          </cell>
          <cell r="AW260">
            <v>165</v>
          </cell>
          <cell r="AX260">
            <v>214</v>
          </cell>
          <cell r="AY260">
            <v>226</v>
          </cell>
          <cell r="AZ260">
            <v>195</v>
          </cell>
          <cell r="BA260">
            <v>250</v>
          </cell>
          <cell r="BB260">
            <v>213</v>
          </cell>
        </row>
        <row r="261">
          <cell r="D261" t="str">
            <v>el</v>
          </cell>
          <cell r="Y261">
            <v>2561.21</v>
          </cell>
          <cell r="Z261">
            <v>2509.404</v>
          </cell>
          <cell r="AA261">
            <v>2295.7719999999999</v>
          </cell>
          <cell r="AB261">
            <v>2295.741</v>
          </cell>
          <cell r="AC261">
            <v>2338.0050000000001</v>
          </cell>
          <cell r="AD261">
            <v>2581.0329999999999</v>
          </cell>
          <cell r="AE261">
            <v>2656.652</v>
          </cell>
          <cell r="AF261">
            <v>2653.0335519253117</v>
          </cell>
          <cell r="AG261">
            <v>2688.5254873672543</v>
          </cell>
          <cell r="AH261">
            <v>2643.6920660663477</v>
          </cell>
          <cell r="AI261">
            <v>2799</v>
          </cell>
          <cell r="AJ261">
            <v>2931</v>
          </cell>
          <cell r="AK261">
            <v>2972</v>
          </cell>
          <cell r="AL261">
            <v>2943</v>
          </cell>
          <cell r="AM261">
            <v>3269</v>
          </cell>
          <cell r="AN261">
            <v>11611</v>
          </cell>
          <cell r="AO261">
            <v>11668</v>
          </cell>
          <cell r="AP261">
            <v>11470</v>
          </cell>
          <cell r="AQ261">
            <v>10618</v>
          </cell>
          <cell r="AR261">
            <v>8280</v>
          </cell>
          <cell r="AS261">
            <v>10224</v>
          </cell>
          <cell r="AT261">
            <v>11316</v>
          </cell>
          <cell r="AU261">
            <v>11999</v>
          </cell>
          <cell r="AV261">
            <v>11590</v>
          </cell>
          <cell r="AW261">
            <v>10466</v>
          </cell>
          <cell r="AX261">
            <v>10816</v>
          </cell>
          <cell r="AY261">
            <v>10976</v>
          </cell>
          <cell r="AZ261">
            <v>11101</v>
          </cell>
          <cell r="BA261">
            <v>11260</v>
          </cell>
          <cell r="BB261">
            <v>214</v>
          </cell>
        </row>
        <row r="262">
          <cell r="D262" t="str">
            <v>totalt</v>
          </cell>
          <cell r="Y262">
            <v>3591.0364780999998</v>
          </cell>
          <cell r="Z262">
            <v>3613.7342312999999</v>
          </cell>
          <cell r="AA262">
            <v>3377.8895583000003</v>
          </cell>
          <cell r="AB262">
            <v>3490.5498567925715</v>
          </cell>
          <cell r="AC262">
            <v>3469.2190832349743</v>
          </cell>
          <cell r="AD262">
            <v>3628.8504310421908</v>
          </cell>
          <cell r="AE262">
            <v>3628.7641113950467</v>
          </cell>
          <cell r="AF262">
            <v>3669.9724139311847</v>
          </cell>
          <cell r="AG262">
            <v>4520.1202165228206</v>
          </cell>
          <cell r="AH262">
            <v>3528.3147254307619</v>
          </cell>
          <cell r="AI262">
            <v>4313.6673943046098</v>
          </cell>
          <cell r="AJ262">
            <v>3772.5674182000002</v>
          </cell>
          <cell r="AK262">
            <v>4096.9436931326491</v>
          </cell>
          <cell r="AL262">
            <v>4144.2520552802962</v>
          </cell>
          <cell r="AM262">
            <v>4273.0616446599997</v>
          </cell>
          <cell r="AN262">
            <v>15254</v>
          </cell>
          <cell r="AO262">
            <v>15126</v>
          </cell>
          <cell r="AP262">
            <v>14930</v>
          </cell>
          <cell r="AQ262">
            <v>14394</v>
          </cell>
          <cell r="AR262">
            <v>11465</v>
          </cell>
          <cell r="AS262">
            <v>13639</v>
          </cell>
          <cell r="AT262">
            <v>14417</v>
          </cell>
          <cell r="AU262">
            <v>15290</v>
          </cell>
          <cell r="AV262">
            <v>14711</v>
          </cell>
          <cell r="AW262">
            <v>13463</v>
          </cell>
          <cell r="AX262">
            <v>13960</v>
          </cell>
          <cell r="AY262">
            <v>14354</v>
          </cell>
          <cell r="AZ262">
            <v>14764</v>
          </cell>
          <cell r="BA262">
            <v>15105</v>
          </cell>
          <cell r="BB262">
            <v>215</v>
          </cell>
        </row>
        <row r="264">
          <cell r="D264" t="str">
            <v>biobränsle</v>
          </cell>
          <cell r="H264">
            <v>84</v>
          </cell>
          <cell r="I264">
            <v>84</v>
          </cell>
          <cell r="J264">
            <v>84</v>
          </cell>
          <cell r="K264">
            <v>294</v>
          </cell>
          <cell r="L264">
            <v>209</v>
          </cell>
          <cell r="M264">
            <v>293</v>
          </cell>
          <cell r="N264">
            <v>419</v>
          </cell>
          <cell r="O264">
            <v>461</v>
          </cell>
          <cell r="P264">
            <v>670</v>
          </cell>
          <cell r="Q264">
            <v>293</v>
          </cell>
          <cell r="Y264">
            <v>23.26</v>
          </cell>
          <cell r="Z264">
            <v>0</v>
          </cell>
          <cell r="AA264">
            <v>46.52</v>
          </cell>
          <cell r="AB264">
            <v>46.52</v>
          </cell>
          <cell r="AC264">
            <v>0</v>
          </cell>
          <cell r="AD264">
            <v>0</v>
          </cell>
          <cell r="AE264">
            <v>139.39879979514919</v>
          </cell>
          <cell r="AF264">
            <v>93.622162224733287</v>
          </cell>
          <cell r="AG264">
            <v>28.990141999999999</v>
          </cell>
          <cell r="AH264">
            <v>30.597000000000001</v>
          </cell>
          <cell r="AI264">
            <v>146.53800000000001</v>
          </cell>
          <cell r="AJ264">
            <v>34.995413157000002</v>
          </cell>
          <cell r="AK264">
            <v>34.89</v>
          </cell>
          <cell r="AL264">
            <v>32.308721499999997</v>
          </cell>
          <cell r="AM264">
            <v>28.051560000000002</v>
          </cell>
          <cell r="AN264">
            <v>200</v>
          </cell>
          <cell r="AO264">
            <v>208</v>
          </cell>
          <cell r="AP264">
            <v>392</v>
          </cell>
          <cell r="AQ264">
            <v>343</v>
          </cell>
          <cell r="AR264">
            <v>216</v>
          </cell>
          <cell r="AS264">
            <v>548</v>
          </cell>
          <cell r="AT264">
            <v>170</v>
          </cell>
          <cell r="AU264">
            <v>215</v>
          </cell>
          <cell r="AV264">
            <v>231</v>
          </cell>
          <cell r="AW264">
            <v>264</v>
          </cell>
          <cell r="AX264">
            <v>507</v>
          </cell>
          <cell r="AY264">
            <v>527</v>
          </cell>
          <cell r="AZ264">
            <v>345</v>
          </cell>
          <cell r="BA264">
            <v>571</v>
          </cell>
          <cell r="BB264">
            <v>217</v>
          </cell>
        </row>
        <row r="265">
          <cell r="D265" t="str">
            <v>kol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54</v>
          </cell>
          <cell r="O265">
            <v>245</v>
          </cell>
          <cell r="P265">
            <v>163</v>
          </cell>
          <cell r="Q265">
            <v>0</v>
          </cell>
          <cell r="Y265">
            <v>2.1091005000000003</v>
          </cell>
          <cell r="Z265">
            <v>11.0444295</v>
          </cell>
          <cell r="AA265">
            <v>1.5874949999999999</v>
          </cell>
          <cell r="AB265">
            <v>3.0540380000000003</v>
          </cell>
          <cell r="AC265">
            <v>2.7440984999999998</v>
          </cell>
          <cell r="AD265">
            <v>2.9028480000000001</v>
          </cell>
          <cell r="AE265">
            <v>6.6997652086644317</v>
          </cell>
          <cell r="AF265">
            <v>0</v>
          </cell>
          <cell r="AG265">
            <v>0</v>
          </cell>
          <cell r="AH265">
            <v>6.2119369565217387E-2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218</v>
          </cell>
        </row>
        <row r="266">
          <cell r="D266" t="str">
            <v>koks</v>
          </cell>
          <cell r="H266">
            <v>954</v>
          </cell>
          <cell r="I266">
            <v>870</v>
          </cell>
          <cell r="J266">
            <v>870</v>
          </cell>
          <cell r="K266">
            <v>728</v>
          </cell>
          <cell r="L266">
            <v>589</v>
          </cell>
          <cell r="M266">
            <v>505</v>
          </cell>
          <cell r="N266">
            <v>617</v>
          </cell>
          <cell r="O266">
            <v>617</v>
          </cell>
          <cell r="P266">
            <v>757</v>
          </cell>
          <cell r="Q266">
            <v>870</v>
          </cell>
          <cell r="Y266">
            <v>291.11285599999997</v>
          </cell>
          <cell r="Z266">
            <v>462.27412459999999</v>
          </cell>
          <cell r="AA266">
            <v>412.49039769999996</v>
          </cell>
          <cell r="AB266">
            <v>435.64072679999998</v>
          </cell>
          <cell r="AC266">
            <v>629.24463653850466</v>
          </cell>
          <cell r="AD266">
            <v>561.52190063630451</v>
          </cell>
          <cell r="AE266">
            <v>101.29729999999999</v>
          </cell>
          <cell r="AF266">
            <v>116.88149999999999</v>
          </cell>
          <cell r="AG266">
            <v>124.67359999999999</v>
          </cell>
          <cell r="AH266">
            <v>132.4657</v>
          </cell>
          <cell r="AI266">
            <v>122.33596999999999</v>
          </cell>
          <cell r="AJ266">
            <v>116.88149999999999</v>
          </cell>
          <cell r="AK266">
            <v>101.29729999999999</v>
          </cell>
          <cell r="AL266">
            <v>88.705266399999985</v>
          </cell>
          <cell r="AM266">
            <v>96.357108599999989</v>
          </cell>
          <cell r="AN266">
            <v>376</v>
          </cell>
          <cell r="AO266">
            <v>432</v>
          </cell>
          <cell r="AP266">
            <v>447</v>
          </cell>
          <cell r="AQ266">
            <v>423</v>
          </cell>
          <cell r="AR266">
            <v>215</v>
          </cell>
          <cell r="AS266">
            <v>357</v>
          </cell>
          <cell r="AT266">
            <v>345</v>
          </cell>
          <cell r="AU266">
            <v>276</v>
          </cell>
          <cell r="AV266">
            <v>248</v>
          </cell>
          <cell r="AW266">
            <v>152</v>
          </cell>
          <cell r="AX266">
            <v>298</v>
          </cell>
          <cell r="AY266">
            <v>0</v>
          </cell>
          <cell r="AZ266">
            <v>281</v>
          </cell>
          <cell r="BA266">
            <v>313</v>
          </cell>
          <cell r="BB266">
            <v>219</v>
          </cell>
        </row>
        <row r="267">
          <cell r="D267" t="str">
            <v>gasol</v>
          </cell>
          <cell r="H267">
            <v>1013</v>
          </cell>
          <cell r="I267">
            <v>1013</v>
          </cell>
          <cell r="J267">
            <v>1197</v>
          </cell>
          <cell r="K267">
            <v>1196</v>
          </cell>
          <cell r="L267">
            <v>1013</v>
          </cell>
          <cell r="M267">
            <v>921</v>
          </cell>
          <cell r="N267">
            <v>921</v>
          </cell>
          <cell r="O267">
            <v>921</v>
          </cell>
          <cell r="P267">
            <v>1059</v>
          </cell>
          <cell r="Q267">
            <v>1290</v>
          </cell>
          <cell r="Y267">
            <v>485.28066230000002</v>
          </cell>
          <cell r="Z267">
            <v>479.83984400000003</v>
          </cell>
          <cell r="AA267">
            <v>566.70431399999995</v>
          </cell>
          <cell r="AB267">
            <v>389.54684999999995</v>
          </cell>
          <cell r="AC267">
            <v>375.96068400000001</v>
          </cell>
          <cell r="AD267">
            <v>339.42202705533248</v>
          </cell>
          <cell r="AE267">
            <v>479.05947100000003</v>
          </cell>
          <cell r="AF267">
            <v>473.31166262517456</v>
          </cell>
          <cell r="AG267">
            <v>757.83429259999991</v>
          </cell>
          <cell r="AH267">
            <v>608.34621801174671</v>
          </cell>
          <cell r="AI267">
            <v>524.51299999999992</v>
          </cell>
          <cell r="AJ267">
            <v>550.09899999999993</v>
          </cell>
          <cell r="AK267">
            <v>511.72400000000005</v>
          </cell>
          <cell r="AL267">
            <v>413.99047289500004</v>
          </cell>
          <cell r="AM267">
            <v>447.96318960000002</v>
          </cell>
          <cell r="AN267">
            <v>1545</v>
          </cell>
          <cell r="AO267">
            <v>1506</v>
          </cell>
          <cell r="AP267">
            <v>1383</v>
          </cell>
          <cell r="AQ267">
            <v>1269</v>
          </cell>
          <cell r="AR267">
            <v>1064</v>
          </cell>
          <cell r="AS267">
            <v>1339</v>
          </cell>
          <cell r="AT267">
            <v>1355</v>
          </cell>
          <cell r="AU267">
            <v>1297</v>
          </cell>
          <cell r="AV267">
            <v>1264</v>
          </cell>
          <cell r="AW267">
            <v>1176</v>
          </cell>
          <cell r="AX267">
            <v>1292</v>
          </cell>
          <cell r="AY267">
            <v>1274</v>
          </cell>
          <cell r="AZ267">
            <v>1303</v>
          </cell>
          <cell r="BA267">
            <v>1258</v>
          </cell>
          <cell r="BB267">
            <v>220</v>
          </cell>
        </row>
        <row r="268">
          <cell r="D268" t="str">
            <v>bensin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15</v>
          </cell>
          <cell r="AO268">
            <v>20</v>
          </cell>
          <cell r="AP268">
            <v>13</v>
          </cell>
          <cell r="AQ268">
            <v>16</v>
          </cell>
          <cell r="AR268">
            <v>3</v>
          </cell>
          <cell r="AS268">
            <v>6</v>
          </cell>
          <cell r="AT268">
            <v>23</v>
          </cell>
          <cell r="AU268">
            <v>11</v>
          </cell>
          <cell r="AV268">
            <v>12</v>
          </cell>
          <cell r="AW268">
            <v>9</v>
          </cell>
          <cell r="AX268">
            <v>19</v>
          </cell>
          <cell r="AY268">
            <v>11</v>
          </cell>
          <cell r="AZ268">
            <v>23</v>
          </cell>
          <cell r="BA268">
            <v>142</v>
          </cell>
          <cell r="BB268">
            <v>221</v>
          </cell>
        </row>
        <row r="269">
          <cell r="D269" t="str">
            <v>lättoljor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41.974080000000001</v>
          </cell>
          <cell r="AJ269">
            <v>59.894499999999994</v>
          </cell>
          <cell r="AK269">
            <v>23.957799999999999</v>
          </cell>
          <cell r="AL269">
            <v>22.436370004</v>
          </cell>
          <cell r="AM269">
            <v>50.884730416666663</v>
          </cell>
          <cell r="AN269">
            <v>196</v>
          </cell>
          <cell r="AO269">
            <v>1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222</v>
          </cell>
        </row>
        <row r="270">
          <cell r="D270" t="str">
            <v>diesel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Y270">
            <v>136.35070149999999</v>
          </cell>
          <cell r="Z270">
            <v>61.517466499999998</v>
          </cell>
          <cell r="AA270">
            <v>68.417545500000003</v>
          </cell>
          <cell r="AB270">
            <v>77.680259000000007</v>
          </cell>
          <cell r="AC270">
            <v>96.393510500000005</v>
          </cell>
          <cell r="AD270">
            <v>91.144310000000004</v>
          </cell>
          <cell r="AE270">
            <v>86.92320149999999</v>
          </cell>
          <cell r="AF270">
            <v>47.030167366058357</v>
          </cell>
          <cell r="AG270">
            <v>22.281385772979373</v>
          </cell>
          <cell r="AH270">
            <v>28.58919651015599</v>
          </cell>
          <cell r="AI270">
            <v>38.553449999999998</v>
          </cell>
          <cell r="AJ270">
            <v>59.779800000000002</v>
          </cell>
          <cell r="AK270">
            <v>59.779800000000002</v>
          </cell>
          <cell r="AL270">
            <v>54.42253359</v>
          </cell>
          <cell r="AM270">
            <v>56.073452400000001</v>
          </cell>
          <cell r="AN270">
            <v>366</v>
          </cell>
          <cell r="AO270">
            <v>369</v>
          </cell>
          <cell r="AP270">
            <v>382</v>
          </cell>
          <cell r="AQ270">
            <v>400</v>
          </cell>
          <cell r="AR270">
            <v>290</v>
          </cell>
          <cell r="AS270">
            <v>509</v>
          </cell>
          <cell r="AT270">
            <v>233</v>
          </cell>
          <cell r="AU270">
            <v>235</v>
          </cell>
          <cell r="AV270">
            <v>262</v>
          </cell>
          <cell r="AW270">
            <v>321</v>
          </cell>
          <cell r="AX270">
            <v>346</v>
          </cell>
          <cell r="AY270">
            <v>393</v>
          </cell>
          <cell r="AZ270">
            <v>391</v>
          </cell>
          <cell r="BA270">
            <v>443</v>
          </cell>
          <cell r="BB270">
            <v>223</v>
          </cell>
        </row>
        <row r="271">
          <cell r="D271" t="str">
            <v>eo1</v>
          </cell>
          <cell r="H271">
            <v>10249</v>
          </cell>
          <cell r="I271">
            <v>7723</v>
          </cell>
          <cell r="J271">
            <v>8648</v>
          </cell>
          <cell r="K271">
            <v>11140</v>
          </cell>
          <cell r="L271">
            <v>9431</v>
          </cell>
          <cell r="M271">
            <v>9004</v>
          </cell>
          <cell r="N271">
            <v>10890</v>
          </cell>
          <cell r="O271">
            <v>9822</v>
          </cell>
          <cell r="P271">
            <v>8577</v>
          </cell>
          <cell r="Q271">
            <v>7545</v>
          </cell>
          <cell r="Y271">
            <v>1325.072191</v>
          </cell>
          <cell r="Z271">
            <v>1179.2314095000002</v>
          </cell>
          <cell r="AA271">
            <v>996.15194950000011</v>
          </cell>
          <cell r="AB271">
            <v>1000.7783635</v>
          </cell>
          <cell r="AC271">
            <v>1027.9536030000002</v>
          </cell>
          <cell r="AD271">
            <v>1101.8081735000001</v>
          </cell>
          <cell r="AE271">
            <v>1211.4087119999999</v>
          </cell>
          <cell r="AF271">
            <v>1148.993687366418</v>
          </cell>
          <cell r="AG271">
            <v>948.10743094999998</v>
          </cell>
          <cell r="AH271">
            <v>959.15089769625445</v>
          </cell>
          <cell r="AI271">
            <v>739.43539999999996</v>
          </cell>
          <cell r="AJ271">
            <v>826.95389999999998</v>
          </cell>
          <cell r="AK271">
            <v>797.06400000000008</v>
          </cell>
          <cell r="AL271">
            <v>898.85833866900009</v>
          </cell>
          <cell r="AM271">
            <v>667.54110000000003</v>
          </cell>
          <cell r="AN271">
            <v>2088</v>
          </cell>
          <cell r="AO271">
            <v>2045</v>
          </cell>
          <cell r="AP271">
            <v>1869</v>
          </cell>
          <cell r="AQ271">
            <v>1612</v>
          </cell>
          <cell r="AR271">
            <v>1353</v>
          </cell>
          <cell r="AS271">
            <v>1409</v>
          </cell>
          <cell r="AT271">
            <v>942</v>
          </cell>
          <cell r="AU271">
            <v>879</v>
          </cell>
          <cell r="AV271">
            <v>794</v>
          </cell>
          <cell r="AW271">
            <v>652</v>
          </cell>
          <cell r="AX271">
            <v>530</v>
          </cell>
          <cell r="AY271">
            <v>485</v>
          </cell>
          <cell r="AZ271">
            <v>436</v>
          </cell>
          <cell r="BA271">
            <v>417</v>
          </cell>
          <cell r="BB271">
            <v>224</v>
          </cell>
        </row>
        <row r="272">
          <cell r="D272" t="str">
            <v>eo2-6</v>
          </cell>
          <cell r="H272">
            <v>20403</v>
          </cell>
          <cell r="I272">
            <v>18106</v>
          </cell>
          <cell r="J272">
            <v>19585</v>
          </cell>
          <cell r="K272">
            <v>20247</v>
          </cell>
          <cell r="L272">
            <v>18417</v>
          </cell>
          <cell r="M272">
            <v>17249</v>
          </cell>
          <cell r="N272">
            <v>17561</v>
          </cell>
          <cell r="O272">
            <v>16003</v>
          </cell>
          <cell r="P272">
            <v>14446</v>
          </cell>
          <cell r="Q272">
            <v>12148</v>
          </cell>
          <cell r="Y272">
            <v>836.54496959999983</v>
          </cell>
          <cell r="Z272">
            <v>733.5018902999999</v>
          </cell>
          <cell r="AA272">
            <v>603.95985599999995</v>
          </cell>
          <cell r="AB272">
            <v>663.78898703200491</v>
          </cell>
          <cell r="AC272">
            <v>734.96203679999996</v>
          </cell>
          <cell r="AD272">
            <v>607.00993979999998</v>
          </cell>
          <cell r="AE272">
            <v>702.80636609999999</v>
          </cell>
          <cell r="AF272">
            <v>807.28796009999985</v>
          </cell>
          <cell r="AG272">
            <v>624.38784632999989</v>
          </cell>
          <cell r="AH272">
            <v>497.18999303532405</v>
          </cell>
          <cell r="AI272">
            <v>313.66109999999998</v>
          </cell>
          <cell r="AJ272">
            <v>508.38720000000001</v>
          </cell>
          <cell r="AK272">
            <v>550.75279999999998</v>
          </cell>
          <cell r="AL272">
            <v>490.4257447</v>
          </cell>
          <cell r="AM272">
            <v>285.74099999999999</v>
          </cell>
          <cell r="AN272">
            <v>1097</v>
          </cell>
          <cell r="AO272">
            <v>1104</v>
          </cell>
          <cell r="AP272">
            <v>901</v>
          </cell>
          <cell r="AQ272">
            <v>514</v>
          </cell>
          <cell r="AR272">
            <v>386</v>
          </cell>
          <cell r="AS272">
            <v>389</v>
          </cell>
          <cell r="AT272">
            <v>123</v>
          </cell>
          <cell r="AU272">
            <v>185</v>
          </cell>
          <cell r="AV272">
            <v>128</v>
          </cell>
          <cell r="AW272">
            <v>91</v>
          </cell>
          <cell r="AX272">
            <v>56</v>
          </cell>
          <cell r="AY272">
            <v>60</v>
          </cell>
          <cell r="AZ272">
            <v>74</v>
          </cell>
          <cell r="BA272">
            <v>33</v>
          </cell>
          <cell r="BB272">
            <v>225</v>
          </cell>
        </row>
        <row r="273">
          <cell r="D273" t="str">
            <v>övriga petroleumprodukter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21.407766789362423</v>
          </cell>
          <cell r="AE273">
            <v>0</v>
          </cell>
          <cell r="AF273">
            <v>0.11896608086933975</v>
          </cell>
          <cell r="AG273">
            <v>25.898999999999997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158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226</v>
          </cell>
        </row>
        <row r="274">
          <cell r="D274" t="str">
            <v>naturgas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Y274">
            <v>434.43000000000006</v>
          </cell>
          <cell r="Z274">
            <v>302.77800000000002</v>
          </cell>
          <cell r="AA274">
            <v>280.17360000000002</v>
          </cell>
          <cell r="AB274">
            <v>219.92472000000004</v>
          </cell>
          <cell r="AC274">
            <v>226.34963999999999</v>
          </cell>
          <cell r="AD274">
            <v>270.84780000000001</v>
          </cell>
          <cell r="AE274">
            <v>297.31536000000006</v>
          </cell>
          <cell r="AF274">
            <v>310.00706012903225</v>
          </cell>
          <cell r="AG274">
            <v>395.48638800000003</v>
          </cell>
          <cell r="AH274">
            <v>500.40963753896108</v>
          </cell>
          <cell r="AI274">
            <v>238.14000000000001</v>
          </cell>
          <cell r="AJ274">
            <v>219.78</v>
          </cell>
          <cell r="AK274">
            <v>198</v>
          </cell>
          <cell r="AL274">
            <v>286.92898424999998</v>
          </cell>
          <cell r="AM274">
            <v>375.61500000000001</v>
          </cell>
          <cell r="AN274">
            <v>1217</v>
          </cell>
          <cell r="AO274">
            <v>1058</v>
          </cell>
          <cell r="AP274">
            <v>907</v>
          </cell>
          <cell r="AQ274">
            <v>933</v>
          </cell>
          <cell r="AR274">
            <v>845</v>
          </cell>
          <cell r="AS274">
            <v>832</v>
          </cell>
          <cell r="AT274">
            <v>817</v>
          </cell>
          <cell r="AU274">
            <v>887</v>
          </cell>
          <cell r="AV274">
            <v>904</v>
          </cell>
          <cell r="AW274">
            <v>849</v>
          </cell>
          <cell r="AX274">
            <v>911</v>
          </cell>
          <cell r="AY274">
            <v>1004</v>
          </cell>
          <cell r="AZ274">
            <v>1033</v>
          </cell>
          <cell r="BA274">
            <v>789</v>
          </cell>
          <cell r="BB274">
            <v>227</v>
          </cell>
        </row>
        <row r="275">
          <cell r="D275" t="str">
            <v>stadsgas</v>
          </cell>
          <cell r="H275">
            <v>184</v>
          </cell>
          <cell r="I275">
            <v>0</v>
          </cell>
          <cell r="J275">
            <v>100</v>
          </cell>
          <cell r="K275">
            <v>149</v>
          </cell>
          <cell r="L275">
            <v>134</v>
          </cell>
          <cell r="M275">
            <v>134</v>
          </cell>
          <cell r="N275">
            <v>151</v>
          </cell>
          <cell r="O275">
            <v>134</v>
          </cell>
          <cell r="P275">
            <v>84</v>
          </cell>
          <cell r="Q275">
            <v>67</v>
          </cell>
          <cell r="Y275">
            <v>18.380051999999999</v>
          </cell>
          <cell r="Z275">
            <v>5.712656</v>
          </cell>
          <cell r="AA275">
            <v>5.1311559999999998</v>
          </cell>
          <cell r="AB275">
            <v>4.4933093337204237</v>
          </cell>
          <cell r="AC275">
            <v>7.8000689368079259</v>
          </cell>
          <cell r="AD275">
            <v>4.7543440000000006</v>
          </cell>
          <cell r="AE275">
            <v>3.9960680000000002</v>
          </cell>
          <cell r="AF275">
            <v>4.4343981981038176</v>
          </cell>
          <cell r="AG275">
            <v>1.974774</v>
          </cell>
          <cell r="AH275">
            <v>1.8021847999999998</v>
          </cell>
          <cell r="AI275">
            <v>1.3956</v>
          </cell>
          <cell r="AJ275">
            <v>0</v>
          </cell>
          <cell r="AK275">
            <v>4.6520000000000001</v>
          </cell>
          <cell r="AL275">
            <v>14.111051160000002</v>
          </cell>
          <cell r="AM275">
            <v>18.608000000000001</v>
          </cell>
          <cell r="AN275">
            <v>86</v>
          </cell>
          <cell r="AO275">
            <v>87</v>
          </cell>
          <cell r="AP275">
            <v>84</v>
          </cell>
          <cell r="AQ275">
            <v>12</v>
          </cell>
          <cell r="AR275">
            <v>2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228</v>
          </cell>
        </row>
        <row r="276">
          <cell r="D276" t="str">
            <v>masugnsgas m.m.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60.475999999999999</v>
          </cell>
          <cell r="AK276">
            <v>0</v>
          </cell>
          <cell r="AL276">
            <v>0</v>
          </cell>
          <cell r="AM276">
            <v>0</v>
          </cell>
          <cell r="AN276">
            <v>180</v>
          </cell>
          <cell r="AO276">
            <v>108</v>
          </cell>
          <cell r="AP276">
            <v>193</v>
          </cell>
          <cell r="AQ276">
            <v>151</v>
          </cell>
          <cell r="AR276">
            <v>55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229</v>
          </cell>
        </row>
        <row r="277">
          <cell r="D277" t="str">
            <v>övriga bränslen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0.98855000000000015</v>
          </cell>
          <cell r="AC277">
            <v>0.86062000000000005</v>
          </cell>
          <cell r="AD277">
            <v>1.5119000000000002</v>
          </cell>
          <cell r="AE277">
            <v>0</v>
          </cell>
          <cell r="AF277">
            <v>0</v>
          </cell>
          <cell r="AG277">
            <v>39.025628000000005</v>
          </cell>
          <cell r="AH277">
            <v>86.430291965587045</v>
          </cell>
          <cell r="AI277">
            <v>23.26</v>
          </cell>
          <cell r="AJ277">
            <v>21.380975790000001</v>
          </cell>
          <cell r="AK277">
            <v>19.465247300000005</v>
          </cell>
          <cell r="AL277">
            <v>85.472010100000006</v>
          </cell>
          <cell r="AM277">
            <v>8.9202100000000009</v>
          </cell>
          <cell r="AN277">
            <v>67</v>
          </cell>
          <cell r="AO277">
            <v>159</v>
          </cell>
          <cell r="AP277">
            <v>153</v>
          </cell>
          <cell r="AQ277">
            <v>166</v>
          </cell>
          <cell r="AR277">
            <v>126</v>
          </cell>
          <cell r="AS277">
            <v>130</v>
          </cell>
          <cell r="AT277">
            <v>163</v>
          </cell>
          <cell r="AU277">
            <v>192</v>
          </cell>
          <cell r="AV277">
            <v>153</v>
          </cell>
          <cell r="AW277">
            <v>410</v>
          </cell>
          <cell r="AX277">
            <v>234</v>
          </cell>
          <cell r="AY277">
            <v>85</v>
          </cell>
          <cell r="AZ277">
            <v>121</v>
          </cell>
          <cell r="BA277">
            <v>23</v>
          </cell>
          <cell r="BB277">
            <v>230</v>
          </cell>
        </row>
        <row r="278">
          <cell r="D278" t="str">
            <v>fjärrvärme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Y278">
            <v>1033.4580000000001</v>
          </cell>
          <cell r="Z278">
            <v>1028.4570000000001</v>
          </cell>
          <cell r="AA278">
            <v>1044</v>
          </cell>
          <cell r="AB278">
            <v>1225.5999999999999</v>
          </cell>
          <cell r="AC278">
            <v>1203.549382056792</v>
          </cell>
          <cell r="AD278">
            <v>1260.6877133485632</v>
          </cell>
          <cell r="AE278">
            <v>1617.150312228041</v>
          </cell>
          <cell r="AF278">
            <v>1564.3512682556147</v>
          </cell>
          <cell r="AG278">
            <v>1333.1248000000001</v>
          </cell>
          <cell r="AH278">
            <v>1302.7152995263682</v>
          </cell>
          <cell r="AI278">
            <v>1267.0884160551873</v>
          </cell>
          <cell r="AJ278">
            <v>1270.3815761394965</v>
          </cell>
          <cell r="AK278">
            <v>1292.2357721544074</v>
          </cell>
          <cell r="AL278">
            <v>1258</v>
          </cell>
          <cell r="AM278">
            <v>1099</v>
          </cell>
          <cell r="AN278">
            <v>4658</v>
          </cell>
          <cell r="AO278">
            <v>5261</v>
          </cell>
          <cell r="AP278">
            <v>5176</v>
          </cell>
          <cell r="AQ278">
            <v>4911</v>
          </cell>
          <cell r="AR278">
            <v>5169</v>
          </cell>
          <cell r="AS278">
            <v>6126</v>
          </cell>
          <cell r="AT278">
            <v>4756</v>
          </cell>
          <cell r="AU278">
            <v>5220</v>
          </cell>
          <cell r="AV278">
            <v>5128</v>
          </cell>
          <cell r="AW278">
            <v>4733</v>
          </cell>
          <cell r="AX278">
            <v>4628</v>
          </cell>
          <cell r="AY278">
            <v>4537</v>
          </cell>
          <cell r="AZ278">
            <v>4117</v>
          </cell>
          <cell r="BA278">
            <v>4627</v>
          </cell>
          <cell r="BB278">
            <v>231</v>
          </cell>
        </row>
        <row r="279">
          <cell r="D279" t="str">
            <v>el</v>
          </cell>
          <cell r="H279">
            <v>14774</v>
          </cell>
          <cell r="I279">
            <v>14548</v>
          </cell>
          <cell r="J279">
            <v>15520</v>
          </cell>
          <cell r="K279">
            <v>16528</v>
          </cell>
          <cell r="L279">
            <v>16034</v>
          </cell>
          <cell r="M279">
            <v>16232</v>
          </cell>
          <cell r="N279">
            <v>16978</v>
          </cell>
          <cell r="O279">
            <v>17633</v>
          </cell>
          <cell r="P279">
            <v>17975</v>
          </cell>
          <cell r="Q279">
            <v>18698</v>
          </cell>
          <cell r="Y279">
            <v>7318.6090000000004</v>
          </cell>
          <cell r="Z279">
            <v>6738.4539999999997</v>
          </cell>
          <cell r="AA279">
            <v>5992.4939999999997</v>
          </cell>
          <cell r="AB279">
            <v>5925.11</v>
          </cell>
          <cell r="AC279">
            <v>6297.56</v>
          </cell>
          <cell r="AD279">
            <v>6891.2659999999996</v>
          </cell>
          <cell r="AE279">
            <v>7184.7910000000002</v>
          </cell>
          <cell r="AF279">
            <v>7143.9540150856819</v>
          </cell>
          <cell r="AG279">
            <v>6752.5379063657301</v>
          </cell>
          <cell r="AH279">
            <v>7463.8725878748837</v>
          </cell>
          <cell r="AI279">
            <v>7465</v>
          </cell>
          <cell r="AJ279">
            <v>7701</v>
          </cell>
          <cell r="AK279">
            <v>7398</v>
          </cell>
          <cell r="AL279">
            <v>7066</v>
          </cell>
          <cell r="AM279">
            <v>6993</v>
          </cell>
          <cell r="AN279">
            <v>25001</v>
          </cell>
          <cell r="AO279">
            <v>25545</v>
          </cell>
          <cell r="AP279">
            <v>25322</v>
          </cell>
          <cell r="AQ279">
            <v>23247</v>
          </cell>
          <cell r="AR279">
            <v>19386</v>
          </cell>
          <cell r="AS279">
            <v>20363</v>
          </cell>
          <cell r="AT279">
            <v>20702</v>
          </cell>
          <cell r="AU279">
            <v>20081</v>
          </cell>
          <cell r="AV279">
            <v>19603</v>
          </cell>
          <cell r="AW279">
            <v>20206</v>
          </cell>
          <cell r="AX279">
            <v>19119</v>
          </cell>
          <cell r="AY279">
            <v>18768</v>
          </cell>
          <cell r="AZ279">
            <v>19102</v>
          </cell>
          <cell r="BA279">
            <v>19401</v>
          </cell>
          <cell r="BB279">
            <v>232</v>
          </cell>
        </row>
        <row r="280">
          <cell r="D280" t="str">
            <v>totalt</v>
          </cell>
          <cell r="Y280">
            <v>11904.607532900001</v>
          </cell>
          <cell r="Z280">
            <v>11002.8108204</v>
          </cell>
          <cell r="AA280">
            <v>10017.6303137</v>
          </cell>
          <cell r="AB280">
            <v>9993.1258036657237</v>
          </cell>
          <cell r="AC280">
            <v>10603.378280332105</v>
          </cell>
          <cell r="AD280">
            <v>11154.28472312956</v>
          </cell>
          <cell r="AE280">
            <v>11830.846355831856</v>
          </cell>
          <cell r="AF280">
            <v>11709.992847431686</v>
          </cell>
          <cell r="AG280">
            <v>11054.323194018709</v>
          </cell>
          <cell r="AH280">
            <v>11611.631126328844</v>
          </cell>
          <cell r="AI280">
            <v>10921.895016055187</v>
          </cell>
          <cell r="AJ280">
            <v>11430.009865086495</v>
          </cell>
          <cell r="AK280">
            <v>10991.818719454408</v>
          </cell>
          <cell r="AL280">
            <v>10711.659493268002</v>
          </cell>
          <cell r="AM280">
            <v>10127.755351016667</v>
          </cell>
          <cell r="AN280">
            <v>37250</v>
          </cell>
          <cell r="AO280">
            <v>37903</v>
          </cell>
          <cell r="AP280">
            <v>37222</v>
          </cell>
          <cell r="AQ280">
            <v>33997</v>
          </cell>
          <cell r="AR280">
            <v>29110</v>
          </cell>
          <cell r="AS280">
            <v>32008</v>
          </cell>
          <cell r="AT280">
            <v>29629</v>
          </cell>
          <cell r="AU280">
            <v>29478</v>
          </cell>
          <cell r="AV280">
            <v>28727</v>
          </cell>
          <cell r="AW280">
            <v>28863</v>
          </cell>
          <cell r="AX280">
            <v>27940</v>
          </cell>
          <cell r="AY280">
            <v>27144</v>
          </cell>
          <cell r="AZ280">
            <v>27226</v>
          </cell>
          <cell r="BA280">
            <v>28017</v>
          </cell>
          <cell r="BB280">
            <v>233</v>
          </cell>
        </row>
        <row r="282">
          <cell r="D282" t="str">
            <v>biobränsle</v>
          </cell>
          <cell r="H282">
            <v>23572</v>
          </cell>
          <cell r="I282">
            <v>23655</v>
          </cell>
          <cell r="J282">
            <v>22274</v>
          </cell>
          <cell r="K282">
            <v>33286</v>
          </cell>
          <cell r="L282">
            <v>15993</v>
          </cell>
          <cell r="M282">
            <v>15491</v>
          </cell>
          <cell r="N282">
            <v>16454</v>
          </cell>
          <cell r="O282">
            <v>17459</v>
          </cell>
          <cell r="P282">
            <v>14947</v>
          </cell>
          <cell r="Q282">
            <v>15156</v>
          </cell>
          <cell r="Y282">
            <v>553.1228000000001</v>
          </cell>
          <cell r="Z282">
            <v>441.94000000000005</v>
          </cell>
          <cell r="AA282">
            <v>534.98</v>
          </cell>
          <cell r="AB282">
            <v>459.05936000000003</v>
          </cell>
          <cell r="AC282">
            <v>430.31</v>
          </cell>
          <cell r="AD282">
            <v>383.79</v>
          </cell>
          <cell r="AE282">
            <v>183.92088274273442</v>
          </cell>
          <cell r="AF282">
            <v>192.38330921848586</v>
          </cell>
          <cell r="AG282">
            <v>215.84555000000003</v>
          </cell>
          <cell r="AH282">
            <v>245.76586258838387</v>
          </cell>
          <cell r="AI282">
            <v>265.16400000000004</v>
          </cell>
          <cell r="AJ282">
            <v>204.68224315000003</v>
          </cell>
          <cell r="AK282">
            <v>162.82</v>
          </cell>
          <cell r="AL282">
            <v>203.44835830000002</v>
          </cell>
          <cell r="AM282">
            <v>476.83000000000004</v>
          </cell>
          <cell r="AN282">
            <v>703</v>
          </cell>
          <cell r="AO282">
            <v>915</v>
          </cell>
          <cell r="AP282">
            <v>996</v>
          </cell>
          <cell r="AQ282">
            <v>512</v>
          </cell>
          <cell r="AR282">
            <v>435</v>
          </cell>
          <cell r="AS282">
            <v>465</v>
          </cell>
          <cell r="AT282">
            <v>327</v>
          </cell>
          <cell r="AU282">
            <v>397</v>
          </cell>
          <cell r="AV282">
            <v>383</v>
          </cell>
          <cell r="AW282">
            <v>580</v>
          </cell>
          <cell r="AX282">
            <v>355</v>
          </cell>
          <cell r="AY282">
            <v>474</v>
          </cell>
          <cell r="AZ282">
            <v>364</v>
          </cell>
          <cell r="BA282">
            <v>389</v>
          </cell>
          <cell r="BB282">
            <v>235</v>
          </cell>
        </row>
        <row r="283">
          <cell r="D283" t="str">
            <v>kol</v>
          </cell>
          <cell r="H283">
            <v>4980</v>
          </cell>
          <cell r="I283">
            <v>4245</v>
          </cell>
          <cell r="J283">
            <v>3864</v>
          </cell>
          <cell r="K283">
            <v>4817</v>
          </cell>
          <cell r="L283">
            <v>5633</v>
          </cell>
          <cell r="M283">
            <v>6831</v>
          </cell>
          <cell r="N283">
            <v>7484</v>
          </cell>
          <cell r="O283">
            <v>7185</v>
          </cell>
          <cell r="P283">
            <v>6450</v>
          </cell>
          <cell r="Q283">
            <v>8246</v>
          </cell>
          <cell r="Y283">
            <v>3.4017749999999998</v>
          </cell>
          <cell r="Z283">
            <v>0.88446150000000001</v>
          </cell>
          <cell r="AA283">
            <v>0</v>
          </cell>
          <cell r="AB283">
            <v>9.82735E-2</v>
          </cell>
          <cell r="AC283">
            <v>3.7495119999999997</v>
          </cell>
          <cell r="AD283">
            <v>2.1695764999999998</v>
          </cell>
          <cell r="AE283">
            <v>1.48977191197689</v>
          </cell>
          <cell r="AF283">
            <v>0</v>
          </cell>
          <cell r="AG283">
            <v>7.5594999999999999</v>
          </cell>
          <cell r="AH283">
            <v>0</v>
          </cell>
          <cell r="AI283">
            <v>0.75595000000000001</v>
          </cell>
          <cell r="AJ283">
            <v>2.2678499999999997</v>
          </cell>
          <cell r="AK283">
            <v>7.5594999999999999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236</v>
          </cell>
        </row>
        <row r="284">
          <cell r="D284" t="str">
            <v>koks</v>
          </cell>
          <cell r="H284">
            <v>6031</v>
          </cell>
          <cell r="I284">
            <v>4628</v>
          </cell>
          <cell r="J284">
            <v>4292</v>
          </cell>
          <cell r="K284">
            <v>4039</v>
          </cell>
          <cell r="L284">
            <v>3955</v>
          </cell>
          <cell r="M284">
            <v>3731</v>
          </cell>
          <cell r="N284">
            <v>3478</v>
          </cell>
          <cell r="O284">
            <v>3563</v>
          </cell>
          <cell r="P284">
            <v>1795</v>
          </cell>
          <cell r="Q284">
            <v>2945</v>
          </cell>
          <cell r="Y284">
            <v>37.464416799999995</v>
          </cell>
          <cell r="Z284">
            <v>182.4753978</v>
          </cell>
          <cell r="AA284">
            <v>257.59903389999999</v>
          </cell>
          <cell r="AB284">
            <v>306.61134289999995</v>
          </cell>
          <cell r="AC284">
            <v>292.77738669668162</v>
          </cell>
          <cell r="AD284">
            <v>305.04174913777621</v>
          </cell>
          <cell r="AE284">
            <v>85.713099999999997</v>
          </cell>
          <cell r="AF284">
            <v>93.505200000000002</v>
          </cell>
          <cell r="AG284">
            <v>85.713099999999997</v>
          </cell>
          <cell r="AH284">
            <v>77.920999999999992</v>
          </cell>
          <cell r="AI284">
            <v>105.19335</v>
          </cell>
          <cell r="AJ284">
            <v>85.713099999999997</v>
          </cell>
          <cell r="AK284">
            <v>77.920999999999992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237</v>
          </cell>
        </row>
        <row r="285">
          <cell r="D285" t="str">
            <v>gasol</v>
          </cell>
          <cell r="H285">
            <v>1842</v>
          </cell>
          <cell r="I285">
            <v>1382</v>
          </cell>
          <cell r="J285">
            <v>1658</v>
          </cell>
          <cell r="K285">
            <v>1565</v>
          </cell>
          <cell r="L285">
            <v>1566</v>
          </cell>
          <cell r="M285">
            <v>1750</v>
          </cell>
          <cell r="N285">
            <v>1888</v>
          </cell>
          <cell r="O285">
            <v>1796</v>
          </cell>
          <cell r="P285">
            <v>1474</v>
          </cell>
          <cell r="Q285">
            <v>1658</v>
          </cell>
          <cell r="Y285">
            <v>4.1193782000000008</v>
          </cell>
          <cell r="Z285">
            <v>35.167957000000001</v>
          </cell>
          <cell r="AA285">
            <v>2.8912179999999998</v>
          </cell>
          <cell r="AB285">
            <v>8.7248260000000002</v>
          </cell>
          <cell r="AC285">
            <v>179.409032</v>
          </cell>
          <cell r="AD285">
            <v>245.71871714086228</v>
          </cell>
          <cell r="AE285">
            <v>208.29562599999997</v>
          </cell>
          <cell r="AF285">
            <v>183.10620900000001</v>
          </cell>
          <cell r="AG285">
            <v>1056.3013791000001</v>
          </cell>
          <cell r="AH285">
            <v>1042.4586281633335</v>
          </cell>
          <cell r="AI285">
            <v>175.26409999999998</v>
          </cell>
          <cell r="AJ285">
            <v>153.51599999999999</v>
          </cell>
          <cell r="AK285">
            <v>12.793100000000001</v>
          </cell>
          <cell r="AL285">
            <v>13.387211564000001</v>
          </cell>
          <cell r="AM285">
            <v>16.439133500000001</v>
          </cell>
          <cell r="AN285">
            <v>54</v>
          </cell>
          <cell r="AO285">
            <v>52</v>
          </cell>
          <cell r="AP285">
            <v>69</v>
          </cell>
          <cell r="AQ285">
            <v>58</v>
          </cell>
          <cell r="AR285">
            <v>53</v>
          </cell>
          <cell r="AS285">
            <v>63</v>
          </cell>
          <cell r="AT285">
            <v>66</v>
          </cell>
          <cell r="AU285">
            <v>69</v>
          </cell>
          <cell r="AV285">
            <v>61</v>
          </cell>
          <cell r="AW285">
            <v>60</v>
          </cell>
          <cell r="AX285">
            <v>53</v>
          </cell>
          <cell r="AY285">
            <v>46</v>
          </cell>
          <cell r="AZ285">
            <v>44</v>
          </cell>
          <cell r="BA285">
            <v>37</v>
          </cell>
          <cell r="BB285">
            <v>238</v>
          </cell>
        </row>
        <row r="286">
          <cell r="D286" t="str">
            <v>bensin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Y286">
            <v>8.7225000000000001</v>
          </cell>
          <cell r="Z286">
            <v>8.7225000000000001</v>
          </cell>
          <cell r="AA286">
            <v>8.7225000000000001</v>
          </cell>
          <cell r="AB286">
            <v>8.7225000000000001</v>
          </cell>
          <cell r="AC286">
            <v>43.612499999999997</v>
          </cell>
          <cell r="AD286">
            <v>34.89</v>
          </cell>
          <cell r="AE286">
            <v>8.7225000000000001</v>
          </cell>
          <cell r="AF286">
            <v>8.7225000000000001</v>
          </cell>
          <cell r="AG286">
            <v>8.7225000000000001</v>
          </cell>
          <cell r="AH286">
            <v>8.7225000000000001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1</v>
          </cell>
          <cell r="AS286">
            <v>2</v>
          </cell>
          <cell r="AT286">
            <v>1</v>
          </cell>
          <cell r="AU286">
            <v>1</v>
          </cell>
          <cell r="AV286">
            <v>1</v>
          </cell>
          <cell r="AW286">
            <v>0</v>
          </cell>
          <cell r="AX286">
            <v>1</v>
          </cell>
          <cell r="AY286">
            <v>4</v>
          </cell>
          <cell r="AZ286">
            <v>4</v>
          </cell>
          <cell r="BA286">
            <v>2</v>
          </cell>
          <cell r="BB286">
            <v>239</v>
          </cell>
        </row>
        <row r="287">
          <cell r="D287" t="str">
            <v>lättoljor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Y287">
            <v>129.16666666666666</v>
          </cell>
          <cell r="Z287">
            <v>92.777777777777786</v>
          </cell>
          <cell r="AA287">
            <v>83.611111111111114</v>
          </cell>
          <cell r="AB287">
            <v>86.111111111111114</v>
          </cell>
          <cell r="AC287">
            <v>86.111111111111114</v>
          </cell>
          <cell r="AD287">
            <v>86.111111111111114</v>
          </cell>
          <cell r="AE287">
            <v>86.111111111111114</v>
          </cell>
          <cell r="AF287">
            <v>71.666666666666671</v>
          </cell>
          <cell r="AG287">
            <v>57.222222222222221</v>
          </cell>
          <cell r="AH287">
            <v>57.499999999999993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240</v>
          </cell>
        </row>
        <row r="288">
          <cell r="D288" t="str">
            <v>diesel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Y288">
            <v>1.008321</v>
          </cell>
          <cell r="Z288">
            <v>0.52393149999999999</v>
          </cell>
          <cell r="AA288">
            <v>0.257023</v>
          </cell>
          <cell r="AB288">
            <v>0.41519100000000003</v>
          </cell>
          <cell r="AC288">
            <v>7.9084000000000002E-2</v>
          </cell>
          <cell r="AD288">
            <v>0.58324449999999994</v>
          </cell>
          <cell r="AE288">
            <v>2.9162224999999999</v>
          </cell>
          <cell r="AF288">
            <v>0.49200790475261053</v>
          </cell>
          <cell r="AG288">
            <v>2.5912960942882903</v>
          </cell>
          <cell r="AH288">
            <v>3.5750725737557896</v>
          </cell>
          <cell r="AI288">
            <v>7.9084000000000003</v>
          </cell>
          <cell r="AJ288">
            <v>0</v>
          </cell>
          <cell r="AK288">
            <v>9.9633000000000003</v>
          </cell>
          <cell r="AL288">
            <v>2.170305639</v>
          </cell>
          <cell r="AM288">
            <v>7.3429520999999998</v>
          </cell>
          <cell r="AN288">
            <v>28</v>
          </cell>
          <cell r="AO288">
            <v>25</v>
          </cell>
          <cell r="AP288">
            <v>23</v>
          </cell>
          <cell r="AQ288">
            <v>14</v>
          </cell>
          <cell r="AR288">
            <v>14</v>
          </cell>
          <cell r="AS288">
            <v>19</v>
          </cell>
          <cell r="AT288">
            <v>9</v>
          </cell>
          <cell r="AU288">
            <v>8</v>
          </cell>
          <cell r="AV288">
            <v>9</v>
          </cell>
          <cell r="AW288">
            <v>10</v>
          </cell>
          <cell r="AX288">
            <v>20</v>
          </cell>
          <cell r="AY288">
            <v>51</v>
          </cell>
          <cell r="AZ288">
            <v>53</v>
          </cell>
          <cell r="BA288">
            <v>37</v>
          </cell>
          <cell r="BB288">
            <v>241</v>
          </cell>
        </row>
        <row r="289">
          <cell r="D289" t="str">
            <v>eo1</v>
          </cell>
          <cell r="H289">
            <v>10712</v>
          </cell>
          <cell r="I289">
            <v>9217</v>
          </cell>
          <cell r="J289">
            <v>9075</v>
          </cell>
          <cell r="K289">
            <v>10463</v>
          </cell>
          <cell r="L289">
            <v>10463</v>
          </cell>
          <cell r="M289">
            <v>10498</v>
          </cell>
          <cell r="N289">
            <v>9893</v>
          </cell>
          <cell r="O289">
            <v>9004</v>
          </cell>
          <cell r="P289">
            <v>6868</v>
          </cell>
          <cell r="Q289">
            <v>6050</v>
          </cell>
          <cell r="Y289">
            <v>881.46037849999993</v>
          </cell>
          <cell r="Z289">
            <v>111.627066</v>
          </cell>
          <cell r="AA289">
            <v>108.90855350000001</v>
          </cell>
          <cell r="AB289">
            <v>97.579770499999995</v>
          </cell>
          <cell r="AC289">
            <v>97.204121499999999</v>
          </cell>
          <cell r="AD289">
            <v>307.54779050000002</v>
          </cell>
          <cell r="AE289">
            <v>109.8971035</v>
          </cell>
          <cell r="AF289">
            <v>117.7659615</v>
          </cell>
          <cell r="AG289">
            <v>70.411450849999994</v>
          </cell>
          <cell r="AH289">
            <v>85.242926618459606</v>
          </cell>
          <cell r="AI289">
            <v>93.91225</v>
          </cell>
          <cell r="AJ289">
            <v>89.669700000000006</v>
          </cell>
          <cell r="AK289">
            <v>69.743099999999998</v>
          </cell>
          <cell r="AL289">
            <v>61.596308856</v>
          </cell>
          <cell r="AM289">
            <v>49.816500000000005</v>
          </cell>
          <cell r="AN289">
            <v>214</v>
          </cell>
          <cell r="AO289">
            <v>178</v>
          </cell>
          <cell r="AP289">
            <v>171</v>
          </cell>
          <cell r="AQ289">
            <v>155</v>
          </cell>
          <cell r="AR289">
            <v>107</v>
          </cell>
          <cell r="AS289">
            <v>139</v>
          </cell>
          <cell r="AT289">
            <v>118</v>
          </cell>
          <cell r="AU289">
            <v>112</v>
          </cell>
          <cell r="AV289">
            <v>121</v>
          </cell>
          <cell r="AW289">
            <v>97</v>
          </cell>
          <cell r="AX289">
            <v>91</v>
          </cell>
          <cell r="AY289">
            <v>49</v>
          </cell>
          <cell r="AZ289">
            <v>47</v>
          </cell>
          <cell r="BA289">
            <v>36</v>
          </cell>
          <cell r="BB289">
            <v>242</v>
          </cell>
        </row>
        <row r="290">
          <cell r="D290" t="str">
            <v>eo2-6</v>
          </cell>
          <cell r="H290">
            <v>64830</v>
          </cell>
          <cell r="I290">
            <v>63234</v>
          </cell>
          <cell r="J290">
            <v>61404</v>
          </cell>
          <cell r="K290">
            <v>58874</v>
          </cell>
          <cell r="L290">
            <v>53967</v>
          </cell>
          <cell r="M290">
            <v>47426</v>
          </cell>
          <cell r="N290">
            <v>47464</v>
          </cell>
          <cell r="O290">
            <v>46141</v>
          </cell>
          <cell r="P290">
            <v>39950</v>
          </cell>
          <cell r="Q290">
            <v>33058</v>
          </cell>
          <cell r="Y290">
            <v>83.67180239999999</v>
          </cell>
          <cell r="Z290">
            <v>78.826279199999988</v>
          </cell>
          <cell r="AA290">
            <v>39.478034999999998</v>
          </cell>
          <cell r="AB290">
            <v>25.270350525509755</v>
          </cell>
          <cell r="AC290">
            <v>90.258685499999999</v>
          </cell>
          <cell r="AD290">
            <v>52.359771899999998</v>
          </cell>
          <cell r="AE290">
            <v>38.980503599999999</v>
          </cell>
          <cell r="AF290">
            <v>622.73723183099992</v>
          </cell>
          <cell r="AG290">
            <v>1035.3877199699998</v>
          </cell>
          <cell r="AH290">
            <v>925.67672681372721</v>
          </cell>
          <cell r="AI290">
            <v>20.550209999999996</v>
          </cell>
          <cell r="AJ290">
            <v>21.1828</v>
          </cell>
          <cell r="AK290">
            <v>10.5914</v>
          </cell>
          <cell r="AL290">
            <v>12.092876609999999</v>
          </cell>
          <cell r="AM290">
            <v>21.166</v>
          </cell>
          <cell r="AN290">
            <v>61</v>
          </cell>
          <cell r="AO290">
            <v>73</v>
          </cell>
          <cell r="AP290">
            <v>96</v>
          </cell>
          <cell r="AQ290">
            <v>110</v>
          </cell>
          <cell r="AR290">
            <v>50</v>
          </cell>
          <cell r="AS290">
            <v>57</v>
          </cell>
          <cell r="AT290">
            <v>45</v>
          </cell>
          <cell r="AU290">
            <v>42</v>
          </cell>
          <cell r="AV290">
            <v>35</v>
          </cell>
          <cell r="AW290">
            <v>24</v>
          </cell>
          <cell r="AX290">
            <v>5</v>
          </cell>
          <cell r="AY290">
            <v>3</v>
          </cell>
          <cell r="AZ290">
            <v>4</v>
          </cell>
          <cell r="BA290">
            <v>2</v>
          </cell>
          <cell r="BB290">
            <v>243</v>
          </cell>
        </row>
        <row r="291">
          <cell r="D291" t="str">
            <v>övriga petroleumprodukter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Y291">
            <v>48.5</v>
          </cell>
          <cell r="Z291">
            <v>38.799999999999997</v>
          </cell>
          <cell r="AA291">
            <v>630.5</v>
          </cell>
          <cell r="AB291">
            <v>0</v>
          </cell>
          <cell r="AC291">
            <v>0</v>
          </cell>
          <cell r="AD291">
            <v>0.16059840052034827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244</v>
          </cell>
        </row>
        <row r="292">
          <cell r="D292" t="str">
            <v>naturgas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Y292">
            <v>44.236800000000002</v>
          </cell>
          <cell r="Z292">
            <v>90.514800000000008</v>
          </cell>
          <cell r="AA292">
            <v>227.988</v>
          </cell>
          <cell r="AB292">
            <v>0.79704000000000008</v>
          </cell>
          <cell r="AC292">
            <v>0.57347999999999999</v>
          </cell>
          <cell r="AD292">
            <v>10.332360000000001</v>
          </cell>
          <cell r="AE292">
            <v>0.55404000000000009</v>
          </cell>
          <cell r="AF292">
            <v>0</v>
          </cell>
          <cell r="AG292">
            <v>0.41796</v>
          </cell>
          <cell r="AH292">
            <v>12.588371999999964</v>
          </cell>
          <cell r="AI292">
            <v>2.9160000000000004</v>
          </cell>
          <cell r="AJ292">
            <v>19.98</v>
          </cell>
          <cell r="AK292">
            <v>49.5</v>
          </cell>
          <cell r="AL292">
            <v>4.9238707499999999</v>
          </cell>
          <cell r="AM292">
            <v>11.047499999999999</v>
          </cell>
          <cell r="AN292">
            <v>8</v>
          </cell>
          <cell r="AO292">
            <v>26</v>
          </cell>
          <cell r="AP292">
            <v>31</v>
          </cell>
          <cell r="AQ292">
            <v>72</v>
          </cell>
          <cell r="AR292">
            <v>80</v>
          </cell>
          <cell r="AS292">
            <v>126</v>
          </cell>
          <cell r="AT292">
            <v>81</v>
          </cell>
          <cell r="AU292">
            <v>67</v>
          </cell>
          <cell r="AV292">
            <v>83</v>
          </cell>
          <cell r="AW292">
            <v>111</v>
          </cell>
          <cell r="AX292">
            <v>73</v>
          </cell>
          <cell r="AY292">
            <v>58</v>
          </cell>
          <cell r="AZ292">
            <v>49</v>
          </cell>
          <cell r="BA292">
            <v>24</v>
          </cell>
          <cell r="BB292">
            <v>245</v>
          </cell>
        </row>
        <row r="293">
          <cell r="D293" t="str">
            <v>stadsgas</v>
          </cell>
          <cell r="H293">
            <v>268</v>
          </cell>
          <cell r="I293">
            <v>469</v>
          </cell>
          <cell r="J293">
            <v>368</v>
          </cell>
          <cell r="K293">
            <v>335</v>
          </cell>
          <cell r="L293">
            <v>301</v>
          </cell>
          <cell r="M293">
            <v>235</v>
          </cell>
          <cell r="N293">
            <v>284</v>
          </cell>
          <cell r="O293">
            <v>251</v>
          </cell>
          <cell r="P293">
            <v>301</v>
          </cell>
          <cell r="Q293">
            <v>452</v>
          </cell>
          <cell r="Y293">
            <v>0</v>
          </cell>
          <cell r="Z293">
            <v>9.3040000000000003</v>
          </cell>
          <cell r="AA293">
            <v>21.064256</v>
          </cell>
          <cell r="AB293">
            <v>37.228155029757588</v>
          </cell>
          <cell r="AC293">
            <v>55.836200316376654</v>
          </cell>
          <cell r="AD293">
            <v>37.216000000000001</v>
          </cell>
          <cell r="AE293">
            <v>46.524652000000003</v>
          </cell>
          <cell r="AF293">
            <v>13.320739196480018</v>
          </cell>
          <cell r="AG293">
            <v>0</v>
          </cell>
          <cell r="AH293">
            <v>46.52</v>
          </cell>
          <cell r="AI293">
            <v>13.956</v>
          </cell>
          <cell r="AJ293">
            <v>27.911999999999999</v>
          </cell>
          <cell r="AK293">
            <v>9.3040000000000003</v>
          </cell>
          <cell r="AL293">
            <v>9.3040000000000003</v>
          </cell>
          <cell r="AM293">
            <v>9.3040000000000003</v>
          </cell>
          <cell r="AN293">
            <v>0</v>
          </cell>
          <cell r="AO293">
            <v>0</v>
          </cell>
          <cell r="AP293">
            <v>0</v>
          </cell>
          <cell r="AQ293">
            <v>10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246</v>
          </cell>
        </row>
        <row r="294">
          <cell r="D294" t="str">
            <v>masugnsgas m.m.</v>
          </cell>
          <cell r="H294">
            <v>459</v>
          </cell>
          <cell r="I294">
            <v>445</v>
          </cell>
          <cell r="J294">
            <v>409</v>
          </cell>
          <cell r="K294">
            <v>519</v>
          </cell>
          <cell r="L294">
            <v>431</v>
          </cell>
          <cell r="M294">
            <v>363</v>
          </cell>
          <cell r="N294">
            <v>288</v>
          </cell>
          <cell r="O294">
            <v>177</v>
          </cell>
          <cell r="P294">
            <v>13</v>
          </cell>
          <cell r="Q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247</v>
          </cell>
        </row>
        <row r="295">
          <cell r="D295" t="str">
            <v>övriga bränslen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2.3260000000000001</v>
          </cell>
          <cell r="AC295">
            <v>48.520360000000004</v>
          </cell>
          <cell r="AD295">
            <v>3.6053000000000002</v>
          </cell>
          <cell r="AE295">
            <v>11.63</v>
          </cell>
          <cell r="AF295">
            <v>81.410000000000011</v>
          </cell>
          <cell r="AG295">
            <v>74.760442830000002</v>
          </cell>
          <cell r="AH295">
            <v>112.00953440909092</v>
          </cell>
          <cell r="AI295">
            <v>1.163</v>
          </cell>
          <cell r="AJ295">
            <v>0.77474407999999995</v>
          </cell>
          <cell r="AK295">
            <v>2.4393924999999999</v>
          </cell>
          <cell r="AL295">
            <v>1.0758913000000001</v>
          </cell>
          <cell r="AM295">
            <v>0.31401000000000001</v>
          </cell>
          <cell r="AN295">
            <v>8</v>
          </cell>
          <cell r="AO295">
            <v>1</v>
          </cell>
          <cell r="AP295">
            <v>0</v>
          </cell>
          <cell r="AQ295">
            <v>0</v>
          </cell>
          <cell r="AR295">
            <v>0</v>
          </cell>
          <cell r="AS295">
            <v>1</v>
          </cell>
          <cell r="AT295">
            <v>1</v>
          </cell>
          <cell r="AU295">
            <v>1</v>
          </cell>
          <cell r="AV295">
            <v>1</v>
          </cell>
          <cell r="AW295">
            <v>0</v>
          </cell>
          <cell r="AX295">
            <v>1</v>
          </cell>
          <cell r="AY295">
            <v>1</v>
          </cell>
          <cell r="AZ295">
            <v>1</v>
          </cell>
          <cell r="BA295">
            <v>1</v>
          </cell>
          <cell r="BB295">
            <v>248</v>
          </cell>
        </row>
        <row r="296">
          <cell r="D296" t="str">
            <v>fjärrvärme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Y296">
            <v>303.03300000000002</v>
          </cell>
          <cell r="Z296">
            <v>107.783</v>
          </cell>
          <cell r="AA296">
            <v>36.299999999999997</v>
          </cell>
          <cell r="AB296">
            <v>47.54</v>
          </cell>
          <cell r="AC296">
            <v>44.40071256776443</v>
          </cell>
          <cell r="AD296">
            <v>74.469935279632068</v>
          </cell>
          <cell r="AE296">
            <v>33.446142571415486</v>
          </cell>
          <cell r="AF296">
            <v>44.520391454719707</v>
          </cell>
          <cell r="AG296">
            <v>1737.5325</v>
          </cell>
          <cell r="AH296">
            <v>1637.7765890909091</v>
          </cell>
          <cell r="AI296">
            <v>69.684341319107816</v>
          </cell>
          <cell r="AJ296">
            <v>45.660253020318471</v>
          </cell>
          <cell r="AK296">
            <v>46.445739946718049</v>
          </cell>
          <cell r="AL296">
            <v>1481</v>
          </cell>
          <cell r="AM296">
            <v>1747</v>
          </cell>
          <cell r="AN296">
            <v>361</v>
          </cell>
          <cell r="AO296">
            <v>362</v>
          </cell>
          <cell r="AP296">
            <v>378</v>
          </cell>
          <cell r="AQ296">
            <v>866</v>
          </cell>
          <cell r="AR296">
            <v>907</v>
          </cell>
          <cell r="AS296">
            <v>879</v>
          </cell>
          <cell r="AT296">
            <v>779</v>
          </cell>
          <cell r="AU296">
            <v>835</v>
          </cell>
          <cell r="AV296">
            <v>763</v>
          </cell>
          <cell r="AW296">
            <v>689</v>
          </cell>
          <cell r="AX296">
            <v>615</v>
          </cell>
          <cell r="AY296">
            <v>599</v>
          </cell>
          <cell r="AZ296">
            <v>619</v>
          </cell>
          <cell r="BA296">
            <v>621</v>
          </cell>
          <cell r="BB296">
            <v>249</v>
          </cell>
        </row>
        <row r="297">
          <cell r="D297" t="str">
            <v>el</v>
          </cell>
          <cell r="H297">
            <v>28339</v>
          </cell>
          <cell r="I297">
            <v>28256</v>
          </cell>
          <cell r="J297">
            <v>28804</v>
          </cell>
          <cell r="K297">
            <v>29927</v>
          </cell>
          <cell r="L297">
            <v>29394</v>
          </cell>
          <cell r="M297">
            <v>27990</v>
          </cell>
          <cell r="N297">
            <v>29650</v>
          </cell>
          <cell r="O297">
            <v>30229</v>
          </cell>
          <cell r="P297">
            <v>29326</v>
          </cell>
          <cell r="Q297">
            <v>29164</v>
          </cell>
          <cell r="Y297">
            <v>1423.9580000000001</v>
          </cell>
          <cell r="Z297">
            <v>831.23099999999999</v>
          </cell>
          <cell r="AA297">
            <v>2399.2309999999998</v>
          </cell>
          <cell r="AB297">
            <v>1759.0419999999999</v>
          </cell>
          <cell r="AC297">
            <v>692.596</v>
          </cell>
          <cell r="AD297">
            <v>565.22199999999998</v>
          </cell>
          <cell r="AE297">
            <v>523.46400000000006</v>
          </cell>
          <cell r="AF297">
            <v>530.71593184545566</v>
          </cell>
          <cell r="AG297">
            <v>437.91699730163066</v>
          </cell>
          <cell r="AH297">
            <v>576.85483375980618</v>
          </cell>
          <cell r="AI297">
            <v>649</v>
          </cell>
          <cell r="AJ297">
            <v>626</v>
          </cell>
          <cell r="AK297">
            <v>596</v>
          </cell>
          <cell r="AL297">
            <v>492</v>
          </cell>
          <cell r="AM297">
            <v>448</v>
          </cell>
          <cell r="AN297">
            <v>1684</v>
          </cell>
          <cell r="AO297">
            <v>1765</v>
          </cell>
          <cell r="AP297">
            <v>1915</v>
          </cell>
          <cell r="AQ297">
            <v>2588</v>
          </cell>
          <cell r="AR297">
            <v>2158</v>
          </cell>
          <cell r="AS297">
            <v>2022</v>
          </cell>
          <cell r="AT297">
            <v>2064</v>
          </cell>
          <cell r="AU297">
            <v>2003</v>
          </cell>
          <cell r="AV297">
            <v>1908</v>
          </cell>
          <cell r="AW297">
            <v>1807</v>
          </cell>
          <cell r="AX297">
            <v>1744</v>
          </cell>
          <cell r="AY297">
            <v>1689</v>
          </cell>
          <cell r="AZ297">
            <v>1713</v>
          </cell>
          <cell r="BA297">
            <v>1770</v>
          </cell>
          <cell r="BB297">
            <v>250</v>
          </cell>
        </row>
        <row r="298">
          <cell r="D298" t="str">
            <v>totalt</v>
          </cell>
          <cell r="Y298">
            <v>3521.8658385666668</v>
          </cell>
          <cell r="Z298">
            <v>2030.5781707777778</v>
          </cell>
          <cell r="AA298">
            <v>4351.530730511111</v>
          </cell>
          <cell r="AB298">
            <v>2839.5259205663788</v>
          </cell>
          <cell r="AC298">
            <v>2065.4381856919335</v>
          </cell>
          <cell r="AD298">
            <v>2109.2181544699015</v>
          </cell>
          <cell r="AE298">
            <v>1341.6656559372379</v>
          </cell>
          <cell r="AF298">
            <v>1960.3461486175606</v>
          </cell>
          <cell r="AG298">
            <v>4790.3826183681413</v>
          </cell>
          <cell r="AH298">
            <v>4832.6120460174661</v>
          </cell>
          <cell r="AI298">
            <v>1405.4676013191076</v>
          </cell>
          <cell r="AJ298">
            <v>1277.3586902503184</v>
          </cell>
          <cell r="AK298">
            <v>1055.0805324467181</v>
          </cell>
          <cell r="AL298">
            <v>2280.9988230190002</v>
          </cell>
          <cell r="AM298">
            <v>2787.2600956000001</v>
          </cell>
          <cell r="AN298">
            <v>3121</v>
          </cell>
          <cell r="AO298">
            <v>3397</v>
          </cell>
          <cell r="AP298">
            <v>3680</v>
          </cell>
          <cell r="AQ298">
            <v>4385</v>
          </cell>
          <cell r="AR298">
            <v>3805</v>
          </cell>
          <cell r="AS298">
            <v>3773</v>
          </cell>
          <cell r="AT298">
            <v>3491</v>
          </cell>
          <cell r="AU298">
            <v>3535</v>
          </cell>
          <cell r="AV298">
            <v>3365</v>
          </cell>
          <cell r="AW298">
            <v>3378</v>
          </cell>
          <cell r="AX298">
            <v>2958</v>
          </cell>
          <cell r="AY298">
            <v>2974</v>
          </cell>
          <cell r="AZ298">
            <v>2898</v>
          </cell>
          <cell r="BA298">
            <v>2919</v>
          </cell>
          <cell r="BB298">
            <v>251</v>
          </cell>
        </row>
        <row r="300">
          <cell r="D300" t="str">
            <v>biobränsle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14</v>
          </cell>
          <cell r="AR300">
            <v>14</v>
          </cell>
          <cell r="AS300">
            <v>260</v>
          </cell>
          <cell r="AT300">
            <v>248</v>
          </cell>
          <cell r="AU300">
            <v>258</v>
          </cell>
          <cell r="AV300">
            <v>280</v>
          </cell>
          <cell r="AW300">
            <v>294</v>
          </cell>
          <cell r="AX300">
            <v>345</v>
          </cell>
          <cell r="AY300">
            <v>335</v>
          </cell>
          <cell r="AZ300">
            <v>345</v>
          </cell>
          <cell r="BA300">
            <v>353</v>
          </cell>
          <cell r="BB300">
            <v>253</v>
          </cell>
        </row>
        <row r="301">
          <cell r="D301" t="str">
            <v>kol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128.51150000000001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254</v>
          </cell>
        </row>
        <row r="302">
          <cell r="D302" t="str">
            <v>koks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255</v>
          </cell>
        </row>
        <row r="303">
          <cell r="D303" t="str">
            <v>gasol</v>
          </cell>
          <cell r="Y303">
            <v>204.68960000000001</v>
          </cell>
          <cell r="Z303">
            <v>370.99699999999996</v>
          </cell>
          <cell r="AA303">
            <v>243.06699999999998</v>
          </cell>
          <cell r="AB303">
            <v>230.274</v>
          </cell>
          <cell r="AC303">
            <v>127.92999999999999</v>
          </cell>
          <cell r="AD303">
            <v>243.06699999999998</v>
          </cell>
          <cell r="AE303">
            <v>191.89499999999998</v>
          </cell>
          <cell r="AF303">
            <v>127.92999999999999</v>
          </cell>
          <cell r="AG303">
            <v>63.964999999999996</v>
          </cell>
          <cell r="AH303">
            <v>127.92999999999999</v>
          </cell>
          <cell r="AI303">
            <v>140.72299999999998</v>
          </cell>
          <cell r="AJ303">
            <v>140.72299999999998</v>
          </cell>
          <cell r="AK303">
            <v>140.72410000000002</v>
          </cell>
          <cell r="AL303">
            <v>140.72410000000002</v>
          </cell>
          <cell r="AM303">
            <v>140.72410000000002</v>
          </cell>
          <cell r="AN303">
            <v>506</v>
          </cell>
          <cell r="AO303">
            <v>506</v>
          </cell>
          <cell r="AP303">
            <v>506</v>
          </cell>
          <cell r="AQ303">
            <v>230</v>
          </cell>
          <cell r="AR303">
            <v>184</v>
          </cell>
          <cell r="AS303">
            <v>129</v>
          </cell>
          <cell r="AT303">
            <v>123</v>
          </cell>
          <cell r="AU303">
            <v>127</v>
          </cell>
          <cell r="AV303">
            <v>118</v>
          </cell>
          <cell r="AW303">
            <v>118</v>
          </cell>
          <cell r="AX303">
            <v>117</v>
          </cell>
          <cell r="AY303">
            <v>116</v>
          </cell>
          <cell r="AZ303">
            <v>115</v>
          </cell>
          <cell r="BA303">
            <v>114</v>
          </cell>
          <cell r="BB303">
            <v>256</v>
          </cell>
        </row>
        <row r="304">
          <cell r="D304" t="str">
            <v>bensin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10</v>
          </cell>
          <cell r="AT304">
            <v>7</v>
          </cell>
          <cell r="AU304">
            <v>7</v>
          </cell>
          <cell r="AV304">
            <v>5</v>
          </cell>
          <cell r="AW304">
            <v>4</v>
          </cell>
          <cell r="AX304">
            <v>3</v>
          </cell>
          <cell r="AY304">
            <v>2</v>
          </cell>
          <cell r="AZ304">
            <v>2</v>
          </cell>
          <cell r="BA304">
            <v>6</v>
          </cell>
          <cell r="BB304">
            <v>257</v>
          </cell>
        </row>
        <row r="305">
          <cell r="D305" t="str">
            <v>lättoljor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258</v>
          </cell>
        </row>
        <row r="306">
          <cell r="D306" t="str">
            <v>diesel</v>
          </cell>
          <cell r="Y306">
            <v>0</v>
          </cell>
          <cell r="Z306">
            <v>29.656500000000001</v>
          </cell>
          <cell r="AA306">
            <v>29.656500000000001</v>
          </cell>
          <cell r="AB306">
            <v>0</v>
          </cell>
          <cell r="AC306">
            <v>39.542000000000002</v>
          </cell>
          <cell r="AD306">
            <v>0</v>
          </cell>
          <cell r="AE306">
            <v>29.656500000000001</v>
          </cell>
          <cell r="AF306">
            <v>29.656500000000001</v>
          </cell>
          <cell r="AG306">
            <v>29.656500000000001</v>
          </cell>
          <cell r="AH306">
            <v>29.656500000000001</v>
          </cell>
          <cell r="AI306">
            <v>49.427500000000002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409</v>
          </cell>
          <cell r="AR306">
            <v>337</v>
          </cell>
          <cell r="AS306">
            <v>327</v>
          </cell>
          <cell r="AT306">
            <v>297</v>
          </cell>
          <cell r="AU306">
            <v>358</v>
          </cell>
          <cell r="AV306">
            <v>370</v>
          </cell>
          <cell r="AW306">
            <v>344</v>
          </cell>
          <cell r="AX306">
            <v>306</v>
          </cell>
          <cell r="AY306">
            <v>291</v>
          </cell>
          <cell r="AZ306">
            <v>286</v>
          </cell>
          <cell r="BA306">
            <v>281</v>
          </cell>
          <cell r="BB306">
            <v>259</v>
          </cell>
        </row>
        <row r="307">
          <cell r="D307" t="str">
            <v>eo1</v>
          </cell>
          <cell r="Y307">
            <v>0</v>
          </cell>
          <cell r="Z307">
            <v>553.58799999999997</v>
          </cell>
          <cell r="AA307">
            <v>464.61850000000004</v>
          </cell>
          <cell r="AB307">
            <v>454.733</v>
          </cell>
          <cell r="AC307">
            <v>494.27500000000003</v>
          </cell>
          <cell r="AD307">
            <v>494.27500000000003</v>
          </cell>
          <cell r="AE307">
            <v>682.09950000000003</v>
          </cell>
          <cell r="AF307">
            <v>919.35149999999999</v>
          </cell>
          <cell r="AG307">
            <v>177.93900000000002</v>
          </cell>
          <cell r="AH307">
            <v>375.649</v>
          </cell>
          <cell r="AI307">
            <v>148.2825</v>
          </cell>
          <cell r="AJ307">
            <v>149.4495</v>
          </cell>
          <cell r="AK307">
            <v>149.4495</v>
          </cell>
          <cell r="AL307">
            <v>149.4495</v>
          </cell>
          <cell r="AM307">
            <v>149.4495</v>
          </cell>
          <cell r="AN307">
            <v>538</v>
          </cell>
          <cell r="AO307">
            <v>538</v>
          </cell>
          <cell r="AP307">
            <v>538</v>
          </cell>
          <cell r="AQ307">
            <v>1039</v>
          </cell>
          <cell r="AR307">
            <v>1075</v>
          </cell>
          <cell r="AS307">
            <v>941</v>
          </cell>
          <cell r="AT307">
            <v>896</v>
          </cell>
          <cell r="AU307">
            <v>925</v>
          </cell>
          <cell r="AV307">
            <v>856</v>
          </cell>
          <cell r="AW307">
            <v>856</v>
          </cell>
          <cell r="AX307">
            <v>847</v>
          </cell>
          <cell r="AY307">
            <v>843</v>
          </cell>
          <cell r="AZ307">
            <v>833</v>
          </cell>
          <cell r="BA307">
            <v>831</v>
          </cell>
          <cell r="BB307">
            <v>260</v>
          </cell>
        </row>
        <row r="308">
          <cell r="D308" t="str">
            <v>eo2-6</v>
          </cell>
          <cell r="Y308">
            <v>237.94979999999998</v>
          </cell>
          <cell r="Z308">
            <v>43.263599999999997</v>
          </cell>
          <cell r="AA308">
            <v>64.895399999999995</v>
          </cell>
          <cell r="AB308">
            <v>0</v>
          </cell>
          <cell r="AC308">
            <v>173.05439999999999</v>
          </cell>
          <cell r="AD308">
            <v>151.42259999999999</v>
          </cell>
          <cell r="AE308">
            <v>281.21339999999998</v>
          </cell>
          <cell r="AF308">
            <v>183.87029999999999</v>
          </cell>
          <cell r="AG308">
            <v>64.895399999999995</v>
          </cell>
          <cell r="AH308">
            <v>248.76569999999998</v>
          </cell>
          <cell r="AI308">
            <v>32.447699999999998</v>
          </cell>
          <cell r="AJ308">
            <v>31.7742</v>
          </cell>
          <cell r="AK308">
            <v>31.7742</v>
          </cell>
          <cell r="AL308">
            <v>31.749000000000002</v>
          </cell>
          <cell r="AM308">
            <v>31.749000000000002</v>
          </cell>
          <cell r="AN308">
            <v>114</v>
          </cell>
          <cell r="AO308">
            <v>114</v>
          </cell>
          <cell r="AP308">
            <v>114</v>
          </cell>
          <cell r="AQ308">
            <v>838</v>
          </cell>
          <cell r="AR308">
            <v>609</v>
          </cell>
          <cell r="AS308">
            <v>61</v>
          </cell>
          <cell r="AT308">
            <v>58</v>
          </cell>
          <cell r="AU308">
            <v>60</v>
          </cell>
          <cell r="AV308">
            <v>56</v>
          </cell>
          <cell r="AW308">
            <v>56</v>
          </cell>
          <cell r="AX308">
            <v>55</v>
          </cell>
          <cell r="AY308">
            <v>55</v>
          </cell>
          <cell r="AZ308">
            <v>54</v>
          </cell>
          <cell r="BA308">
            <v>54</v>
          </cell>
          <cell r="BB308">
            <v>261</v>
          </cell>
        </row>
        <row r="309">
          <cell r="D309" t="str">
            <v>övriga petroleumprodukter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262</v>
          </cell>
        </row>
        <row r="310">
          <cell r="D310" t="str">
            <v>naturgas</v>
          </cell>
          <cell r="Y310">
            <v>0</v>
          </cell>
          <cell r="Z310">
            <v>140.4</v>
          </cell>
          <cell r="AA310">
            <v>324</v>
          </cell>
          <cell r="AB310">
            <v>90.396000000000015</v>
          </cell>
          <cell r="AC310">
            <v>38.880000000000003</v>
          </cell>
          <cell r="AD310">
            <v>29.160000000000004</v>
          </cell>
          <cell r="AE310">
            <v>97.2</v>
          </cell>
          <cell r="AF310">
            <v>194.4</v>
          </cell>
          <cell r="AG310">
            <v>19.440000000000001</v>
          </cell>
          <cell r="AH310">
            <v>97.2</v>
          </cell>
          <cell r="AI310">
            <v>9.7200000000000006</v>
          </cell>
          <cell r="AJ310">
            <v>9.99</v>
          </cell>
          <cell r="AK310">
            <v>9.9</v>
          </cell>
          <cell r="AL310">
            <v>11.047499999999999</v>
          </cell>
          <cell r="AM310">
            <v>11.047499999999999</v>
          </cell>
          <cell r="AN310">
            <v>40</v>
          </cell>
          <cell r="AO310">
            <v>40</v>
          </cell>
          <cell r="AP310">
            <v>40</v>
          </cell>
          <cell r="AQ310">
            <v>239</v>
          </cell>
          <cell r="AR310">
            <v>159</v>
          </cell>
          <cell r="AS310">
            <v>51</v>
          </cell>
          <cell r="AT310">
            <v>49</v>
          </cell>
          <cell r="AU310">
            <v>51</v>
          </cell>
          <cell r="AV310">
            <v>47</v>
          </cell>
          <cell r="AW310">
            <v>47</v>
          </cell>
          <cell r="AX310">
            <v>46</v>
          </cell>
          <cell r="AY310">
            <v>46</v>
          </cell>
          <cell r="AZ310">
            <v>45</v>
          </cell>
          <cell r="BA310">
            <v>45</v>
          </cell>
          <cell r="BB310">
            <v>263</v>
          </cell>
        </row>
        <row r="311">
          <cell r="D311" t="str">
            <v>stadsgas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1</v>
          </cell>
          <cell r="AT311">
            <v>1</v>
          </cell>
          <cell r="AU311">
            <v>1</v>
          </cell>
          <cell r="AV311">
            <v>1</v>
          </cell>
          <cell r="AW311">
            <v>1</v>
          </cell>
          <cell r="AX311">
            <v>1</v>
          </cell>
          <cell r="AY311">
            <v>1</v>
          </cell>
          <cell r="AZ311">
            <v>1</v>
          </cell>
          <cell r="BA311">
            <v>1</v>
          </cell>
          <cell r="BB311">
            <v>264</v>
          </cell>
        </row>
        <row r="312">
          <cell r="D312" t="str">
            <v>masugnsgas m.m.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265</v>
          </cell>
        </row>
        <row r="313">
          <cell r="D313" t="str">
            <v>övriga bränslen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261</v>
          </cell>
          <cell r="AT313">
            <v>238</v>
          </cell>
          <cell r="AU313">
            <v>246</v>
          </cell>
          <cell r="AV313">
            <v>227</v>
          </cell>
          <cell r="AW313">
            <v>228</v>
          </cell>
          <cell r="AX313">
            <v>225</v>
          </cell>
          <cell r="AY313">
            <v>224</v>
          </cell>
          <cell r="AZ313">
            <v>222</v>
          </cell>
          <cell r="BA313">
            <v>221</v>
          </cell>
          <cell r="BB313">
            <v>266</v>
          </cell>
        </row>
        <row r="314">
          <cell r="D314" t="str">
            <v>fjärrvärme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470</v>
          </cell>
          <cell r="AT314">
            <v>432</v>
          </cell>
          <cell r="AU314">
            <v>428</v>
          </cell>
          <cell r="AV314">
            <v>419</v>
          </cell>
          <cell r="AW314">
            <v>405</v>
          </cell>
          <cell r="AX314">
            <v>385</v>
          </cell>
          <cell r="AY314">
            <v>368</v>
          </cell>
          <cell r="AZ314">
            <v>337</v>
          </cell>
          <cell r="BA314">
            <v>343</v>
          </cell>
          <cell r="BB314">
            <v>267</v>
          </cell>
        </row>
        <row r="315">
          <cell r="D315" t="str">
            <v>el</v>
          </cell>
          <cell r="Y315">
            <v>1606</v>
          </cell>
          <cell r="Z315">
            <v>1576</v>
          </cell>
          <cell r="AA315">
            <v>1479</v>
          </cell>
          <cell r="AB315">
            <v>1947</v>
          </cell>
          <cell r="AC315">
            <v>2111</v>
          </cell>
          <cell r="AD315">
            <v>2141</v>
          </cell>
          <cell r="AE315">
            <v>2172</v>
          </cell>
          <cell r="AF315">
            <v>2740.5810000000001</v>
          </cell>
          <cell r="AG315">
            <v>3990.0522999999998</v>
          </cell>
          <cell r="AH315">
            <v>2145</v>
          </cell>
          <cell r="AI315">
            <v>373</v>
          </cell>
          <cell r="AJ315">
            <v>306</v>
          </cell>
          <cell r="AK315">
            <v>361</v>
          </cell>
          <cell r="AL315">
            <v>315</v>
          </cell>
          <cell r="AM315">
            <v>202</v>
          </cell>
          <cell r="AN315">
            <v>68</v>
          </cell>
          <cell r="AO315">
            <v>3823</v>
          </cell>
          <cell r="AP315">
            <v>6077</v>
          </cell>
          <cell r="AQ315">
            <v>4370</v>
          </cell>
          <cell r="AR315">
            <v>5094</v>
          </cell>
          <cell r="AS315">
            <v>4516</v>
          </cell>
          <cell r="AT315">
            <v>4552</v>
          </cell>
          <cell r="AU315">
            <v>4512</v>
          </cell>
          <cell r="AV315">
            <v>4372</v>
          </cell>
          <cell r="AW315">
            <v>4267</v>
          </cell>
          <cell r="AX315">
            <v>4215</v>
          </cell>
          <cell r="AY315">
            <v>4206</v>
          </cell>
          <cell r="AZ315">
            <v>4257</v>
          </cell>
          <cell r="BA315">
            <v>4229</v>
          </cell>
          <cell r="BB315">
            <v>268</v>
          </cell>
        </row>
        <row r="316">
          <cell r="D316" t="str">
            <v>totalt</v>
          </cell>
          <cell r="Y316">
            <v>2048.6394</v>
          </cell>
          <cell r="Z316">
            <v>2713.9050999999999</v>
          </cell>
          <cell r="AA316">
            <v>2605.2374</v>
          </cell>
          <cell r="AB316">
            <v>2722.4030000000002</v>
          </cell>
          <cell r="AC316">
            <v>2984.6813999999999</v>
          </cell>
          <cell r="AD316">
            <v>3187.4360999999999</v>
          </cell>
          <cell r="AE316">
            <v>3454.0644000000002</v>
          </cell>
          <cell r="AF316">
            <v>4195.7893000000004</v>
          </cell>
          <cell r="AG316">
            <v>4345.9481999999998</v>
          </cell>
          <cell r="AH316">
            <v>3024.2012</v>
          </cell>
          <cell r="AI316">
            <v>753.60070000000007</v>
          </cell>
          <cell r="AJ316">
            <v>637.93669999999997</v>
          </cell>
          <cell r="AK316">
            <v>692.84780000000001</v>
          </cell>
          <cell r="AL316">
            <v>647.97010000000012</v>
          </cell>
          <cell r="AM316">
            <v>534.97010000000012</v>
          </cell>
          <cell r="AN316">
            <v>1266</v>
          </cell>
          <cell r="AO316">
            <v>5021</v>
          </cell>
          <cell r="AP316">
            <v>7275</v>
          </cell>
          <cell r="AQ316">
            <v>7139</v>
          </cell>
          <cell r="AR316">
            <v>7472</v>
          </cell>
          <cell r="AS316">
            <v>7027</v>
          </cell>
          <cell r="AT316">
            <v>6901</v>
          </cell>
          <cell r="AU316">
            <v>6973</v>
          </cell>
          <cell r="AV316">
            <v>6751</v>
          </cell>
          <cell r="AW316">
            <v>6620</v>
          </cell>
          <cell r="AX316">
            <v>6545</v>
          </cell>
          <cell r="AY316">
            <v>6487</v>
          </cell>
          <cell r="AZ316">
            <v>6497</v>
          </cell>
          <cell r="BA316">
            <v>6478</v>
          </cell>
          <cell r="BB316">
            <v>269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B_FS_annual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B_FS_quarterly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B_FS_semiannual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rcial_annual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rcial_monthly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ysical_annual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ysical_quarterl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AC20"/>
  <sheetViews>
    <sheetView zoomScale="80" zoomScaleNormal="80" workbookViewId="0">
      <selection activeCell="F10" sqref="F10"/>
    </sheetView>
  </sheetViews>
  <sheetFormatPr defaultColWidth="8" defaultRowHeight="12.75"/>
  <cols>
    <col min="1" max="1" width="8" style="7"/>
    <col min="2" max="2" width="39.73046875" style="15" customWidth="1"/>
    <col min="3" max="4" width="7.73046875" style="16" customWidth="1"/>
    <col min="5" max="5" width="12.59765625" style="7" customWidth="1"/>
    <col min="6" max="6" width="12.1328125" style="7" customWidth="1"/>
    <col min="7" max="16384" width="8" style="7"/>
  </cols>
  <sheetData>
    <row r="1" spans="1:29" s="6" customFormat="1" ht="15.75" customHeight="1" thickBot="1">
      <c r="A1" s="3" t="s">
        <v>95</v>
      </c>
      <c r="B1" s="4"/>
      <c r="C1" s="5" t="s">
        <v>20</v>
      </c>
      <c r="D1" s="5" t="s">
        <v>21</v>
      </c>
      <c r="E1" s="1">
        <v>2023</v>
      </c>
      <c r="F1" s="2">
        <v>2024</v>
      </c>
    </row>
    <row r="2" spans="1:29" ht="16.350000000000001" customHeight="1">
      <c r="B2" s="11" t="s">
        <v>96</v>
      </c>
      <c r="C2" s="9" t="s">
        <v>22</v>
      </c>
      <c r="D2" s="9"/>
      <c r="E2" s="64">
        <f>SUM('[11] Физический_ежеквартальный'!E2:H2)</f>
        <v>17810185209</v>
      </c>
      <c r="F2" s="64">
        <f>SUM('[11] Физический_ежеквартальный'!I2:L2)</f>
        <v>18703055514</v>
      </c>
    </row>
    <row r="3" spans="1:29" ht="16.350000000000001" customHeight="1">
      <c r="B3" s="11" t="s">
        <v>122</v>
      </c>
      <c r="C3" s="9" t="s">
        <v>22</v>
      </c>
      <c r="D3" s="9"/>
      <c r="E3" s="64">
        <f>SUM('[11] Физический_ежеквартальный'!E3:H3)</f>
        <v>86256241</v>
      </c>
      <c r="F3" s="64">
        <f>SUM('[11] Физический_ежеквартальный'!I3:L3)</f>
        <v>60123775</v>
      </c>
    </row>
    <row r="4" spans="1:29" s="74" customFormat="1" ht="16.350000000000001" customHeight="1">
      <c r="B4" s="75" t="s">
        <v>0</v>
      </c>
      <c r="C4" s="76" t="s">
        <v>22</v>
      </c>
      <c r="D4" s="77"/>
      <c r="E4" s="70">
        <f>SUM(E2:E3)</f>
        <v>17896441450</v>
      </c>
      <c r="F4" s="70">
        <f>SUM(F2:F3)</f>
        <v>18763179289</v>
      </c>
    </row>
    <row r="5" spans="1:29" ht="16.350000000000001" customHeight="1">
      <c r="B5" s="18"/>
      <c r="C5" s="17"/>
      <c r="D5" s="17"/>
    </row>
    <row r="6" spans="1:29" s="6" customFormat="1" ht="15.75" customHeight="1" thickBot="1">
      <c r="A6" s="3" t="s">
        <v>93</v>
      </c>
      <c r="B6" s="4"/>
      <c r="C6" s="5" t="s">
        <v>20</v>
      </c>
      <c r="D6" s="5" t="s">
        <v>21</v>
      </c>
      <c r="E6" s="1">
        <v>2023</v>
      </c>
      <c r="F6" s="2">
        <v>2024</v>
      </c>
    </row>
    <row r="7" spans="1:29" ht="16.350000000000001" customHeight="1">
      <c r="B7" s="44" t="s">
        <v>111</v>
      </c>
      <c r="C7" s="9" t="s">
        <v>110</v>
      </c>
      <c r="D7" s="37"/>
      <c r="E7" s="64">
        <f>SUM('[11] Физический_ежеквартальный'!E7:H7)</f>
        <v>2759753292.7667003</v>
      </c>
      <c r="F7" s="64">
        <f>SUM('[11] Физический_ежеквартальный'!I7:L7)</f>
        <v>3256957526.3828001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5"/>
    </row>
    <row r="8" spans="1:29" ht="16.350000000000001" customHeight="1">
      <c r="B8" s="40" t="s">
        <v>112</v>
      </c>
      <c r="C8" s="9" t="s">
        <v>110</v>
      </c>
      <c r="D8" s="39"/>
      <c r="E8" s="64">
        <f>SUM('[11] Физический_ежеквартальный'!E8:H8)</f>
        <v>9897669.0399999991</v>
      </c>
      <c r="F8" s="64">
        <f>SUM('[11] Физический_ежеквартальный'!I8:L8)</f>
        <v>8899757.166489996</v>
      </c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5"/>
    </row>
    <row r="9" spans="1:29" ht="16.350000000000001" customHeight="1">
      <c r="B9" s="40" t="s">
        <v>113</v>
      </c>
      <c r="C9" s="9" t="s">
        <v>110</v>
      </c>
      <c r="D9" s="39"/>
      <c r="E9" s="64">
        <f>SUM('[11] Физический_ежеквартальный'!E9:H9)</f>
        <v>20008757.5024</v>
      </c>
      <c r="F9" s="64">
        <f>SUM('[11] Физический_ежеквартальный'!I9:L9)</f>
        <v>18179232.949999999</v>
      </c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5"/>
    </row>
    <row r="10" spans="1:29" ht="16.350000000000001" customHeight="1">
      <c r="B10" s="40" t="s">
        <v>114</v>
      </c>
      <c r="C10" s="9" t="s">
        <v>110</v>
      </c>
      <c r="D10" s="39"/>
      <c r="E10" s="64">
        <f>SUM('[11] Физический_ежеквартальный'!E10:H10)</f>
        <v>606678919.37199998</v>
      </c>
      <c r="F10" s="64">
        <f>SUM('[11] Физический_ежеквартальный'!I10:L10)</f>
        <v>635743772.24199998</v>
      </c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5"/>
    </row>
    <row r="11" spans="1:29" ht="16.350000000000001" customHeight="1">
      <c r="B11" s="40" t="s">
        <v>85</v>
      </c>
      <c r="C11" s="9" t="s">
        <v>110</v>
      </c>
      <c r="D11" s="39"/>
      <c r="E11" s="64">
        <f>SUM('[11] Физический_ежеквартальный'!E11:H11)</f>
        <v>2081298157.2</v>
      </c>
      <c r="F11" s="64">
        <f>SUM('[11] Физический_ежеквартальный'!I11:L11)</f>
        <v>1652931329.9400001</v>
      </c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5"/>
    </row>
    <row r="12" spans="1:29" ht="16.350000000000001" customHeight="1">
      <c r="B12" s="40" t="s">
        <v>115</v>
      </c>
      <c r="C12" s="9" t="s">
        <v>110</v>
      </c>
      <c r="D12" s="39"/>
      <c r="E12" s="64">
        <f>SUM('[11] Физический_ежеквартальный'!E12:H12)</f>
        <v>648622898.63</v>
      </c>
      <c r="F12" s="64">
        <f>SUM('[11] Физический_ежеквартальный'!I12:L12)</f>
        <v>665916167.74900007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5"/>
    </row>
    <row r="13" spans="1:29" ht="16.350000000000001" customHeight="1">
      <c r="B13" s="40" t="s">
        <v>116</v>
      </c>
      <c r="C13" s="9" t="s">
        <v>110</v>
      </c>
      <c r="D13" s="39"/>
      <c r="E13" s="64">
        <f>SUM('[11] Физический_ежеквартальный'!E13:H13)</f>
        <v>229558141</v>
      </c>
      <c r="F13" s="64">
        <f>SUM('[11] Физический_ежеквартальный'!I13:L13)</f>
        <v>469285297.22000003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5"/>
    </row>
    <row r="14" spans="1:29" ht="16.350000000000001" customHeight="1">
      <c r="B14" s="40" t="s">
        <v>117</v>
      </c>
      <c r="C14" s="9" t="s">
        <v>110</v>
      </c>
      <c r="D14" s="39"/>
      <c r="E14" s="64">
        <f>SUM('[11] Физический_ежеквартальный'!E14:H14)</f>
        <v>1731908573.6300001</v>
      </c>
      <c r="F14" s="64">
        <f>SUM('[11] Физический_ежеквартальный'!I14:L14)</f>
        <v>2037759758.46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5"/>
    </row>
    <row r="15" spans="1:29" ht="16.350000000000001" customHeight="1">
      <c r="B15" s="40" t="s">
        <v>118</v>
      </c>
      <c r="C15" s="9" t="s">
        <v>110</v>
      </c>
      <c r="D15" s="39"/>
      <c r="E15" s="64">
        <f>SUM('[11] Физический_ежеквартальный'!E15:H15)</f>
        <v>9797192</v>
      </c>
      <c r="F15" s="64">
        <f>SUM('[11] Физический_ежеквартальный'!I15:L15)</f>
        <v>21349503.100000001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5"/>
    </row>
    <row r="16" spans="1:29" ht="16.350000000000001" customHeight="1">
      <c r="B16" s="40" t="s">
        <v>101</v>
      </c>
      <c r="C16" s="9" t="s">
        <v>110</v>
      </c>
      <c r="D16" s="39"/>
      <c r="E16" s="64">
        <f>SUM('[11] Физический_ежеквартальный'!E16:H16)</f>
        <v>117133296</v>
      </c>
      <c r="F16" s="64">
        <f>SUM('[11] Физический_ежеквартальный'!I16:L16)</f>
        <v>107296474</v>
      </c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5"/>
    </row>
    <row r="17" spans="2:29" ht="16.350000000000001" customHeight="1">
      <c r="B17" s="40" t="s">
        <v>86</v>
      </c>
      <c r="C17" s="9" t="s">
        <v>110</v>
      </c>
      <c r="D17" s="39"/>
      <c r="E17" s="64">
        <f>SUM('[11] Физический_ежеквартальный'!E17:H17)</f>
        <v>5831051614.0500002</v>
      </c>
      <c r="F17" s="64">
        <f>SUM('[11] Физический_ежеквартальный'!I17:L17)</f>
        <v>6244680352.9359999</v>
      </c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5"/>
    </row>
    <row r="18" spans="2:29">
      <c r="B18" s="11" t="s">
        <v>94</v>
      </c>
      <c r="C18" s="9" t="s">
        <v>22</v>
      </c>
      <c r="D18" s="9"/>
      <c r="E18" s="64">
        <f>SUM('[11] Физический_ежеквартальный'!E18:H18)</f>
        <v>3850732938.8088989</v>
      </c>
      <c r="F18" s="64">
        <f>SUM('[11] Физический_ежеквартальный'!I18:L18)</f>
        <v>3644180116.8537102</v>
      </c>
      <c r="G18" s="64"/>
      <c r="H18" s="64"/>
      <c r="I18" s="64"/>
      <c r="J18" s="64"/>
      <c r="K18" s="64"/>
      <c r="L18" s="64"/>
    </row>
    <row r="19" spans="2:29" ht="16.350000000000001" customHeight="1">
      <c r="B19" s="14" t="s">
        <v>0</v>
      </c>
      <c r="C19" s="9" t="s">
        <v>22</v>
      </c>
      <c r="D19" s="9"/>
      <c r="E19" s="70">
        <f>SUM(E7:E18)</f>
        <v>17896441450</v>
      </c>
      <c r="F19" s="70">
        <f>SUM(F7:F18)</f>
        <v>18763179289</v>
      </c>
    </row>
    <row r="20" spans="2:29" ht="16.350000000000001" customHeight="1">
      <c r="B20" s="12"/>
      <c r="C20" s="9"/>
      <c r="D20" s="9"/>
      <c r="E20" s="13"/>
      <c r="F20" s="13"/>
      <c r="G20" s="13"/>
      <c r="H20" s="13"/>
      <c r="I20" s="13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A1:AC21"/>
  <sheetViews>
    <sheetView zoomScale="80" zoomScaleNormal="80" workbookViewId="0">
      <selection activeCell="O19" sqref="O19"/>
    </sheetView>
  </sheetViews>
  <sheetFormatPr defaultColWidth="8" defaultRowHeight="12.75"/>
  <cols>
    <col min="1" max="1" width="8" style="7"/>
    <col min="2" max="2" width="39.73046875" style="15" customWidth="1"/>
    <col min="3" max="4" width="7.73046875" style="16" customWidth="1"/>
    <col min="5" max="5" width="8.86328125" style="7" customWidth="1"/>
    <col min="6" max="12" width="8" style="7"/>
    <col min="13" max="14" width="8.73046875" style="7" bestFit="1" customWidth="1"/>
    <col min="15" max="15" width="9.3984375" style="7" customWidth="1"/>
    <col min="16" max="16384" width="8" style="7"/>
  </cols>
  <sheetData>
    <row r="1" spans="1:29" s="6" customFormat="1" ht="15.4" thickBot="1">
      <c r="A1" s="3" t="s">
        <v>95</v>
      </c>
      <c r="B1" s="4"/>
      <c r="C1" s="5" t="s">
        <v>20</v>
      </c>
      <c r="D1" s="5" t="s">
        <v>21</v>
      </c>
      <c r="E1" s="1" t="s">
        <v>16</v>
      </c>
      <c r="F1" s="2" t="s">
        <v>17</v>
      </c>
      <c r="G1" s="1" t="s">
        <v>18</v>
      </c>
      <c r="H1" s="2" t="s">
        <v>19</v>
      </c>
      <c r="I1" s="1" t="s">
        <v>73</v>
      </c>
      <c r="J1" s="2" t="s">
        <v>74</v>
      </c>
      <c r="K1" s="1" t="s">
        <v>71</v>
      </c>
      <c r="L1" s="1" t="s">
        <v>72</v>
      </c>
      <c r="M1" s="68" t="s">
        <v>158</v>
      </c>
      <c r="N1" s="68" t="s">
        <v>159</v>
      </c>
      <c r="O1" s="68" t="s">
        <v>162</v>
      </c>
    </row>
    <row r="2" spans="1:29">
      <c r="B2" s="11" t="s">
        <v>96</v>
      </c>
      <c r="C2" s="9" t="s">
        <v>22</v>
      </c>
      <c r="D2" s="9"/>
      <c r="E2" s="64">
        <f>SUM('[12] Физический_ежемесячный'!E2:G2)</f>
        <v>4904510811</v>
      </c>
      <c r="F2" s="64">
        <f>SUM('[12] Физический_ежемесячный'!H2:J2)</f>
        <v>4185951169</v>
      </c>
      <c r="G2" s="64">
        <f>SUM('[12] Физический_ежемесячный'!K2:M2)</f>
        <v>4420040881</v>
      </c>
      <c r="H2" s="64">
        <f>SUM('[12] Физический_ежемесячный'!N2:P2)</f>
        <v>4299682348</v>
      </c>
      <c r="I2" s="64">
        <f>SUM('[12] Физический_ежемесячный'!Q2:S2)</f>
        <v>4849556108</v>
      </c>
      <c r="J2" s="64">
        <f>SUM('[12] Физический_ежемесячный'!T2:V2)</f>
        <v>4162631645</v>
      </c>
      <c r="K2" s="64">
        <f>SUM('[12] Физический_ежемесячный'!W2:Y2)</f>
        <v>4841941082</v>
      </c>
      <c r="L2" s="64">
        <f>SUM('[12] Физический_ежемесячный'!Z2:AB2)</f>
        <v>4848926679</v>
      </c>
      <c r="M2" s="7">
        <f>'[12] Физический_ежемесячный'!AC2+'[12] Физический_ежемесячный'!AD2+'[12] Физический_ежемесячный'!AE2</f>
        <v>5407.38</v>
      </c>
      <c r="N2" s="131">
        <f>SUM('[12] Физический_ежемесячный'!AF2:AH2)</f>
        <v>4776.4050000000007</v>
      </c>
      <c r="O2" s="130">
        <f>SUM('[12] Физический_ежемесячный'!AI2:AK2)</f>
        <v>5104.4040000000005</v>
      </c>
    </row>
    <row r="3" spans="1:29">
      <c r="B3" s="11" t="s">
        <v>121</v>
      </c>
      <c r="C3" s="9" t="s">
        <v>22</v>
      </c>
      <c r="D3" s="9"/>
      <c r="E3" s="64">
        <f>SUM('[12] Физический_ежемесячный'!E3:G3)</f>
        <v>24436438</v>
      </c>
      <c r="F3" s="64">
        <f>SUM('[12] Физический_ежемесячный'!H3:J3)</f>
        <v>27286370</v>
      </c>
      <c r="G3" s="64">
        <f>SUM('[12] Физический_ежемесячный'!K3:M3)</f>
        <v>21579853</v>
      </c>
      <c r="H3" s="64">
        <f>SUM('[12] Физический_ежемесячный'!N3:P3)</f>
        <v>12953580</v>
      </c>
      <c r="I3" s="64">
        <f>SUM('[12] Физический_ежемесячный'!Q3:S3)</f>
        <v>14565437</v>
      </c>
      <c r="J3" s="64">
        <f>SUM('[12] Физический_ежемесячный'!T3:V3)</f>
        <v>19774973</v>
      </c>
      <c r="K3" s="64">
        <f>SUM('[12] Физический_ежемесячный'!W3:Y3)</f>
        <v>12195188</v>
      </c>
      <c r="L3" s="64">
        <f>SUM('[12] Физический_ежемесячный'!Z3:AB3)</f>
        <v>13588177</v>
      </c>
      <c r="M3" s="7">
        <f>'[12] Физический_ежемесячный'!AC3+'[12] Физический_ежемесячный'!AD3+'[12] Физический_ежемесячный'!AE3</f>
        <v>11.739999999999998</v>
      </c>
      <c r="N3" s="131">
        <f>SUM('[12] Физический_ежемесячный'!AF3:AH3)</f>
        <v>20.774999999999999</v>
      </c>
      <c r="O3" s="130">
        <f>SUM('[12] Физический_ежемесячный'!AI3:AK3)</f>
        <v>118.55500000000001</v>
      </c>
    </row>
    <row r="4" spans="1:29" s="74" customFormat="1" ht="13.15">
      <c r="B4" s="75" t="s">
        <v>0</v>
      </c>
      <c r="C4" s="76" t="s">
        <v>22</v>
      </c>
      <c r="D4" s="77"/>
      <c r="E4" s="70">
        <f>SUM(E2:E3)</f>
        <v>4928947249</v>
      </c>
      <c r="F4" s="70">
        <f t="shared" ref="F4:O4" si="0">SUM(F2:F3)</f>
        <v>4213237539</v>
      </c>
      <c r="G4" s="70">
        <f t="shared" si="0"/>
        <v>4441620734</v>
      </c>
      <c r="H4" s="70">
        <f t="shared" si="0"/>
        <v>4312635928</v>
      </c>
      <c r="I4" s="70">
        <f t="shared" si="0"/>
        <v>4864121545</v>
      </c>
      <c r="J4" s="70">
        <f t="shared" si="0"/>
        <v>4182406618</v>
      </c>
      <c r="K4" s="70">
        <f t="shared" si="0"/>
        <v>4854136270</v>
      </c>
      <c r="L4" s="70">
        <f t="shared" si="0"/>
        <v>4862514856</v>
      </c>
      <c r="M4" s="129">
        <f t="shared" si="0"/>
        <v>5419.12</v>
      </c>
      <c r="N4" s="129">
        <f t="shared" si="0"/>
        <v>4797.18</v>
      </c>
      <c r="O4" s="129">
        <f t="shared" si="0"/>
        <v>5222.9590000000007</v>
      </c>
    </row>
    <row r="5" spans="1:29">
      <c r="B5" s="18"/>
      <c r="C5" s="17"/>
      <c r="D5" s="17"/>
    </row>
    <row r="6" spans="1:29" s="6" customFormat="1" ht="15.4" thickBot="1">
      <c r="A6" s="3" t="s">
        <v>93</v>
      </c>
      <c r="B6" s="4"/>
      <c r="C6" s="5" t="s">
        <v>20</v>
      </c>
      <c r="D6" s="5" t="s">
        <v>21</v>
      </c>
      <c r="E6" s="1" t="s">
        <v>16</v>
      </c>
      <c r="F6" s="2" t="s">
        <v>17</v>
      </c>
      <c r="G6" s="1" t="s">
        <v>18</v>
      </c>
      <c r="H6" s="2" t="s">
        <v>19</v>
      </c>
      <c r="I6" s="1" t="s">
        <v>73</v>
      </c>
      <c r="J6" s="2" t="s">
        <v>74</v>
      </c>
      <c r="K6" s="1" t="s">
        <v>71</v>
      </c>
      <c r="L6" s="1" t="s">
        <v>72</v>
      </c>
      <c r="M6" s="68" t="s">
        <v>158</v>
      </c>
      <c r="N6" s="68" t="s">
        <v>159</v>
      </c>
      <c r="O6" s="68" t="s">
        <v>162</v>
      </c>
    </row>
    <row r="7" spans="1:29" ht="16.350000000000001" customHeight="1">
      <c r="B7" s="44" t="s">
        <v>111</v>
      </c>
      <c r="C7" s="9" t="s">
        <v>110</v>
      </c>
      <c r="D7" s="37"/>
      <c r="E7" s="64">
        <f>SUM('[12] Физический_ежемесячный'!E7:G7)</f>
        <v>638271419.54110003</v>
      </c>
      <c r="F7" s="64">
        <f>SUM('[12] Физический_ежемесячный'!H7:J7)</f>
        <v>634232731.49000001</v>
      </c>
      <c r="G7" s="64">
        <f>SUM('[12] Физический_ежемесячный'!K7:M7)</f>
        <v>721437550.64120007</v>
      </c>
      <c r="H7" s="64">
        <f>SUM('[12] Физический_ежемесячный'!N7:P7)</f>
        <v>765811591.09440005</v>
      </c>
      <c r="I7" s="64">
        <f>SUM('[12] Физический_ежемесячный'!Q7:S7)</f>
        <v>755092795.20000017</v>
      </c>
      <c r="J7" s="64">
        <f>SUM('[12] Физический_ежемесячный'!T7:V7)</f>
        <v>735367286.69999993</v>
      </c>
      <c r="K7" s="64">
        <f>SUM('[12] Физический_ежемесячный'!W7:Y7)</f>
        <v>856574969.04850006</v>
      </c>
      <c r="L7" s="64">
        <f>SUM('[12] Физический_ежемесячный'!Z7:AB7)</f>
        <v>909922475.43429995</v>
      </c>
      <c r="M7" s="64">
        <f>SUM('[12] Физический_ежемесячный'!AC7:AE7)</f>
        <v>921858950.86910009</v>
      </c>
      <c r="N7" s="64">
        <f>SUM('[12] Физический_ежемесячный'!AF7:AH7)</f>
        <v>967019509.2974</v>
      </c>
      <c r="O7" s="64">
        <f>SUM('[12] Физический_ежемесячный'!AI7:AK7)</f>
        <v>1141502718.8643</v>
      </c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5"/>
    </row>
    <row r="8" spans="1:29" ht="16.350000000000001" customHeight="1">
      <c r="B8" s="40" t="s">
        <v>112</v>
      </c>
      <c r="C8" s="9" t="s">
        <v>110</v>
      </c>
      <c r="D8" s="39"/>
      <c r="E8" s="64">
        <f>SUM('[12] Физический_ежемесячный'!E8:G8)</f>
        <v>3802436.4</v>
      </c>
      <c r="F8" s="64">
        <f>SUM('[12] Физический_ежемесячный'!H8:J8)</f>
        <v>1936043.8199999994</v>
      </c>
      <c r="G8" s="64">
        <f>SUM('[12] Физический_ежемесячный'!K8:M8)</f>
        <v>1634180.5500000007</v>
      </c>
      <c r="H8" s="64">
        <f>SUM('[12] Физический_ежемесячный'!N8:P8)</f>
        <v>2525008.2699999996</v>
      </c>
      <c r="I8" s="64">
        <f>SUM('[12] Физический_ежемесячный'!Q8:S8)</f>
        <v>2080536.8135999991</v>
      </c>
      <c r="J8" s="64">
        <f>SUM('[12] Физический_ежемесячный'!T8:V8)</f>
        <v>1571788.7255899981</v>
      </c>
      <c r="K8" s="64">
        <f>SUM('[12] Физический_ежемесячный'!W8:Y8)</f>
        <v>2354326.2726999987</v>
      </c>
      <c r="L8" s="64">
        <f>SUM('[12] Физический_ежемесячный'!Z8:AB8)</f>
        <v>2893105.3546000002</v>
      </c>
      <c r="M8" s="64">
        <f>SUM('[12] Физический_ежемесячный'!AC8:AE8)</f>
        <v>3189674.6980999997</v>
      </c>
      <c r="N8" s="64">
        <f>SUM('[12] Физический_ежемесячный'!AF8:AH8)</f>
        <v>1746232.6092000003</v>
      </c>
      <c r="O8" s="64">
        <f>SUM('[12] Физический_ежемесячный'!AI8:AK8)</f>
        <v>2937601.4816999994</v>
      </c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5"/>
    </row>
    <row r="9" spans="1:29" ht="16.350000000000001" customHeight="1">
      <c r="B9" s="40" t="s">
        <v>113</v>
      </c>
      <c r="C9" s="9" t="s">
        <v>110</v>
      </c>
      <c r="D9" s="39"/>
      <c r="E9" s="64">
        <f>SUM('[12] Физический_ежемесячный'!E9:G9)</f>
        <v>7047594.2524000006</v>
      </c>
      <c r="F9" s="64">
        <f>SUM('[12] Физический_ежемесячный'!H9:J9)</f>
        <v>3506249.43</v>
      </c>
      <c r="G9" s="64">
        <f>SUM('[12] Физический_ежемесячный'!K9:M9)</f>
        <v>4313574.05</v>
      </c>
      <c r="H9" s="64">
        <f>SUM('[12] Физический_ежемесячный'!N9:P9)</f>
        <v>5141339.7700000005</v>
      </c>
      <c r="I9" s="64">
        <f>SUM('[12] Физический_ежемесячный'!Q9:S9)</f>
        <v>5493007.1799999997</v>
      </c>
      <c r="J9" s="64">
        <f>SUM('[12] Физический_ежемесячный'!T9:V9)</f>
        <v>3273391.5</v>
      </c>
      <c r="K9" s="64">
        <f>SUM('[12] Физический_ежемесячный'!W9:Y9)</f>
        <v>3482647.36</v>
      </c>
      <c r="L9" s="64">
        <f>SUM('[12] Физический_ежемесячный'!Z9:AB9)</f>
        <v>5930186.9100000001</v>
      </c>
      <c r="M9" s="64">
        <f>SUM('[12] Физический_ежемесячный'!AC9:AE9)</f>
        <v>6669871.267</v>
      </c>
      <c r="N9" s="64">
        <f>SUM('[12] Физический_ежемесячный'!AF9:AH9)</f>
        <v>3632579.2690000003</v>
      </c>
      <c r="O9" s="64">
        <f>SUM('[12] Физический_ежемесячный'!AI9:AK9)</f>
        <v>4692574.3990000002</v>
      </c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5"/>
    </row>
    <row r="10" spans="1:29" ht="16.350000000000001" customHeight="1">
      <c r="B10" s="40" t="s">
        <v>114</v>
      </c>
      <c r="C10" s="9" t="s">
        <v>110</v>
      </c>
      <c r="D10" s="39"/>
      <c r="E10" s="64">
        <f>SUM('[12] Физический_ежемесячный'!E10:G10)</f>
        <v>214522481.19</v>
      </c>
      <c r="F10" s="64">
        <f>SUM('[12] Физический_ежемесячный'!H10:J10)</f>
        <v>109425279.33000001</v>
      </c>
      <c r="G10" s="64">
        <f>SUM('[12] Физический_ежемесячный'!K10:M10)</f>
        <v>115335855.93200001</v>
      </c>
      <c r="H10" s="64">
        <f>SUM('[12] Физический_ежемесячный'!N10:P10)</f>
        <v>167395302.91999999</v>
      </c>
      <c r="I10" s="64">
        <f>SUM('[12] Физический_ежемесячный'!Q10:S10)</f>
        <v>205401414.50999999</v>
      </c>
      <c r="J10" s="64">
        <f>SUM('[12] Физический_ежемесячный'!T10:V10)</f>
        <v>119836924.69</v>
      </c>
      <c r="K10" s="64">
        <f>SUM('[12] Физический_ежемесячный'!W10:Y10)</f>
        <v>126716852.05130002</v>
      </c>
      <c r="L10" s="64">
        <f>SUM('[12] Физический_ежемесячный'!Z10:AB10)</f>
        <v>183788580.99070001</v>
      </c>
      <c r="M10" s="64">
        <f>SUM('[12] Физический_ежемесячный'!AC10:AE10)</f>
        <v>224168623.40809998</v>
      </c>
      <c r="N10" s="64">
        <f>SUM('[12] Физический_ежемесячный'!AF10:AH10)</f>
        <v>128737485.45370001</v>
      </c>
      <c r="O10" s="64">
        <f>SUM('[12] Физический_ежемесячный'!AI10:AK10)</f>
        <v>132741256.55020002</v>
      </c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5"/>
    </row>
    <row r="11" spans="1:29" ht="16.350000000000001" customHeight="1">
      <c r="B11" s="40" t="s">
        <v>85</v>
      </c>
      <c r="C11" s="9" t="s">
        <v>110</v>
      </c>
      <c r="D11" s="39"/>
      <c r="E11" s="64">
        <f>SUM('[12] Физический_ежемесячный'!E11:G11)</f>
        <v>78808405.400000006</v>
      </c>
      <c r="F11" s="64">
        <f>SUM('[12] Физический_ежемесячный'!H11:J11)</f>
        <v>888071474.43000007</v>
      </c>
      <c r="G11" s="64">
        <f>SUM('[12] Физический_ежемесячный'!K11:M11)</f>
        <v>1023178192.89</v>
      </c>
      <c r="H11" s="64">
        <f>SUM('[12] Физический_ежемесячный'!N11:P11)</f>
        <v>91240084.480000004</v>
      </c>
      <c r="I11" s="64">
        <f>SUM('[12] Физический_ежемесячный'!Q11:S11)</f>
        <v>60466805.299999997</v>
      </c>
      <c r="J11" s="64">
        <f>SUM('[12] Физический_ежемесячный'!T11:V11)</f>
        <v>628370909.94000006</v>
      </c>
      <c r="K11" s="64">
        <f>SUM('[12] Физический_ежемесячный'!W11:Y11)</f>
        <v>884521098.17999995</v>
      </c>
      <c r="L11" s="64">
        <f>SUM('[12] Физический_ежемесячный'!Z11:AB11)</f>
        <v>79572516.519999996</v>
      </c>
      <c r="M11" s="64">
        <f>SUM('[12] Физический_ежемесячный'!AC11:AE11)</f>
        <v>64382778.030000001</v>
      </c>
      <c r="N11" s="64">
        <f>SUM('[12] Физический_ежемесячный'!AF11:AH11)</f>
        <v>854839339.40999997</v>
      </c>
      <c r="O11" s="64">
        <f>SUM('[12] Физический_ежемесячный'!AI11:AK11)</f>
        <v>1014411920.295</v>
      </c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5"/>
    </row>
    <row r="12" spans="1:29" ht="16.350000000000001" customHeight="1">
      <c r="B12" s="40" t="s">
        <v>115</v>
      </c>
      <c r="C12" s="9" t="s">
        <v>110</v>
      </c>
      <c r="D12" s="39"/>
      <c r="E12" s="64">
        <f>SUM('[12] Физический_ежемесячный'!E12:G12)</f>
        <v>186174641.78</v>
      </c>
      <c r="F12" s="64">
        <f>SUM('[12] Физический_ежемесячный'!H12:J12)</f>
        <v>152891299.93000001</v>
      </c>
      <c r="G12" s="64">
        <f>SUM('[12] Физический_ежемесячный'!K12:M12)</f>
        <v>154284831.50999999</v>
      </c>
      <c r="H12" s="64">
        <f>SUM('[12] Физический_ежемесячный'!N12:P12)</f>
        <v>155272125.41</v>
      </c>
      <c r="I12" s="64">
        <f>SUM('[12] Физический_ежемесячный'!Q12:S12)</f>
        <v>157132675.76999998</v>
      </c>
      <c r="J12" s="64">
        <f>SUM('[12] Физический_ежемесячный'!T12:V12)</f>
        <v>147333687.37</v>
      </c>
      <c r="K12" s="64">
        <f>SUM('[12] Физический_ежемесячный'!W12:Y12)</f>
        <v>174971691.38300002</v>
      </c>
      <c r="L12" s="64">
        <f>SUM('[12] Физический_ежемесячный'!Z12:AB12)</f>
        <v>186478113.22600001</v>
      </c>
      <c r="M12" s="64">
        <f>SUM('[12] Физический_ежемесячный'!AC12:AE12)</f>
        <v>168446725.815</v>
      </c>
      <c r="N12" s="64">
        <f>SUM('[12] Физический_ежемесячный'!AF12:AH12)</f>
        <v>112864354.442</v>
      </c>
      <c r="O12" s="64">
        <f>SUM('[12] Физический_ежемесячный'!AI12:AK12)</f>
        <v>129957490.711</v>
      </c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5"/>
    </row>
    <row r="13" spans="1:29" ht="16.350000000000001" customHeight="1">
      <c r="B13" s="40" t="s">
        <v>116</v>
      </c>
      <c r="C13" s="9" t="s">
        <v>110</v>
      </c>
      <c r="D13" s="39"/>
      <c r="E13" s="64">
        <f>SUM('[12] Физический_ежемесячный'!E13:G13)</f>
        <v>43633227</v>
      </c>
      <c r="F13" s="64">
        <f>SUM('[12] Физический_ежемесячный'!H13:J13)</f>
        <v>72449242</v>
      </c>
      <c r="G13" s="64">
        <f>SUM('[12] Физический_ежемесячный'!K13:M13)</f>
        <v>83373610</v>
      </c>
      <c r="H13" s="64">
        <f>SUM('[12] Физический_ежемесячный'!N13:P13)</f>
        <v>30102062</v>
      </c>
      <c r="I13" s="64">
        <f>SUM('[12] Физический_ежемесячный'!Q13:S13)</f>
        <v>29064058.59</v>
      </c>
      <c r="J13" s="64">
        <f>SUM('[12] Физический_ежемесячный'!T13:V13)</f>
        <v>184687672</v>
      </c>
      <c r="K13" s="64">
        <f>SUM('[12] Физический_ежемесячный'!W13:Y13)</f>
        <v>215424774</v>
      </c>
      <c r="L13" s="64">
        <f>SUM('[12] Физический_ежемесячный'!Z13:AB13)</f>
        <v>40108792.629999995</v>
      </c>
      <c r="M13" s="64">
        <f>SUM('[12] Физический_ежемесячный'!AC13:AE13)</f>
        <v>43379853.934419677</v>
      </c>
      <c r="N13" s="64">
        <f>SUM('[12] Физический_ежемесячный'!AF13:AH13)</f>
        <v>32327006.440000001</v>
      </c>
      <c r="O13" s="64">
        <f>SUM('[12] Физический_ежемесячный'!AI13:AK13)</f>
        <v>27530073.927999999</v>
      </c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5"/>
    </row>
    <row r="14" spans="1:29" ht="16.350000000000001" customHeight="1">
      <c r="B14" s="40" t="s">
        <v>117</v>
      </c>
      <c r="C14" s="9" t="s">
        <v>110</v>
      </c>
      <c r="D14" s="39"/>
      <c r="E14" s="64">
        <f>SUM('[12] Физический_ежемесячный'!E14:G14)</f>
        <v>413840253</v>
      </c>
      <c r="F14" s="64">
        <f>SUM('[12] Физический_ежемесячный'!H14:J14)</f>
        <v>413908150</v>
      </c>
      <c r="G14" s="64">
        <f>SUM('[12] Физический_ежемесячный'!K14:M14)</f>
        <v>442844971</v>
      </c>
      <c r="H14" s="64">
        <f>SUM('[12] Физический_ежемесячный'!N14:P14)</f>
        <v>461315199.63</v>
      </c>
      <c r="I14" s="64">
        <f>SUM('[12] Физический_ежемесячный'!Q14:S14)</f>
        <v>481572302.39999998</v>
      </c>
      <c r="J14" s="64">
        <f>SUM('[12] Физический_ежемесячный'!T14:V14)</f>
        <v>489283752.71000004</v>
      </c>
      <c r="K14" s="64">
        <f>SUM('[12] Физический_ежемесячный'!W14:Y14)</f>
        <v>516871761.89999998</v>
      </c>
      <c r="L14" s="64">
        <f>SUM('[12] Физический_ежемесячный'!Z14:AB14)</f>
        <v>550031941.45000005</v>
      </c>
      <c r="M14" s="64">
        <f>SUM('[12] Физический_ежемесячный'!AC14:AE14)</f>
        <v>595123722</v>
      </c>
      <c r="N14" s="64">
        <f>SUM('[12] Физический_ежемесячный'!AF14:AH14)</f>
        <v>588225209.35000002</v>
      </c>
      <c r="O14" s="64">
        <f>SUM('[12] Физический_ежемесячный'!AI14:AK14)</f>
        <v>500758127.38</v>
      </c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5"/>
    </row>
    <row r="15" spans="1:29" ht="16.350000000000001" customHeight="1">
      <c r="B15" s="40" t="s">
        <v>118</v>
      </c>
      <c r="C15" s="9" t="s">
        <v>110</v>
      </c>
      <c r="D15" s="39"/>
      <c r="E15" s="64">
        <f>SUM('[12] Физический_ежемесячный'!E15:G15)</f>
        <v>5415408</v>
      </c>
      <c r="F15" s="64">
        <f>SUM('[12] Физический_ежемесячный'!H15:J15)</f>
        <v>1630861</v>
      </c>
      <c r="G15" s="64">
        <f>SUM('[12] Физический_ежемесячный'!K15:M15)</f>
        <v>408752</v>
      </c>
      <c r="H15" s="64">
        <f>SUM('[12] Физический_ежемесячный'!N15:P15)</f>
        <v>2342171</v>
      </c>
      <c r="I15" s="64">
        <f>SUM('[12] Физический_ежемесячный'!Q15:S15)</f>
        <v>5936215</v>
      </c>
      <c r="J15" s="64">
        <f>SUM('[12] Физический_ежемесячный'!T15:V15)</f>
        <v>3954167.1</v>
      </c>
      <c r="K15" s="64">
        <f>SUM('[12] Физический_ежемесячный'!W15:Y15)</f>
        <v>4863839</v>
      </c>
      <c r="L15" s="64">
        <f>SUM('[12] Физический_ежемесячный'!Z15:AB15)</f>
        <v>6595282</v>
      </c>
      <c r="M15" s="64">
        <f>SUM('[12] Физический_ежемесячный'!AC15:AE15)</f>
        <v>7774397</v>
      </c>
      <c r="N15" s="64">
        <f>SUM('[12] Физический_ежемесячный'!AF15:AH15)</f>
        <v>5162399</v>
      </c>
      <c r="O15" s="64">
        <f>SUM('[12] Физический_ежемесячный'!AI15:AK15)</f>
        <v>6728880</v>
      </c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5"/>
    </row>
    <row r="16" spans="1:29" ht="16.350000000000001" customHeight="1">
      <c r="B16" s="40" t="s">
        <v>101</v>
      </c>
      <c r="C16" s="9" t="s">
        <v>110</v>
      </c>
      <c r="D16" s="39"/>
      <c r="E16" s="64">
        <f>SUM('[12] Физический_ежемесячный'!E16:G16)</f>
        <v>0</v>
      </c>
      <c r="F16" s="64">
        <f>SUM('[12] Физический_ежемесячный'!H16:J16)</f>
        <v>35949170</v>
      </c>
      <c r="G16" s="64">
        <f>SUM('[12] Физический_ежемесячный'!K16:M16)</f>
        <v>43902462</v>
      </c>
      <c r="H16" s="64">
        <f>SUM('[12] Физический_ежемесячный'!N16:P16)</f>
        <v>37281664</v>
      </c>
      <c r="I16" s="64">
        <f>SUM('[12] Физический_ежемесячный'!Q16:S16)</f>
        <v>14676764</v>
      </c>
      <c r="J16" s="64">
        <f>SUM('[12] Физический_ежемесячный'!T16:V16)</f>
        <v>32443482</v>
      </c>
      <c r="K16" s="64">
        <f>SUM('[12] Физический_ежемесячный'!W16:Y16)</f>
        <v>45472660</v>
      </c>
      <c r="L16" s="64">
        <f>SUM('[12] Физический_ежемесячный'!Z16:AB16)</f>
        <v>14703568</v>
      </c>
      <c r="M16" s="64">
        <f>SUM('[12] Физический_ежемесячный'!AC16:AE16)</f>
        <v>8758319.3499999996</v>
      </c>
      <c r="N16" s="64">
        <f>SUM('[12] Физический_ежемесячный'!AF16:AH16)</f>
        <v>21293519.530000001</v>
      </c>
      <c r="O16" s="64">
        <f>SUM('[12] Физический_ежемесячный'!AI16:AK16)</f>
        <v>43120400</v>
      </c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5"/>
    </row>
    <row r="17" spans="2:29" ht="16.350000000000001" customHeight="1">
      <c r="B17" s="40" t="s">
        <v>86</v>
      </c>
      <c r="C17" s="9" t="s">
        <v>110</v>
      </c>
      <c r="D17" s="39"/>
      <c r="E17" s="64">
        <f>SUM('[12] Физический_ежемесячный'!E17:G17)</f>
        <v>2016636757.1800001</v>
      </c>
      <c r="F17" s="64">
        <f>SUM('[12] Физический_ежемесячный'!H17:J17)</f>
        <v>1106026223.4300001</v>
      </c>
      <c r="G17" s="64">
        <f>SUM('[12] Физический_ежемесячный'!K17:M17)</f>
        <v>1068649944.98</v>
      </c>
      <c r="H17" s="64">
        <f>SUM('[12] Физический_ежемесячный'!N17:P17)</f>
        <v>1639738688.46</v>
      </c>
      <c r="I17" s="64">
        <f>SUM('[12] Физический_ежемесячный'!Q17:S17)</f>
        <v>1994721355.8300002</v>
      </c>
      <c r="J17" s="64">
        <f>SUM('[12] Физический_ежемесячный'!T17:V17)</f>
        <v>1151705456.8670001</v>
      </c>
      <c r="K17" s="64">
        <f>SUM('[12] Физический_ежемесячный'!W17:Y17)</f>
        <v>1208111631.9569998</v>
      </c>
      <c r="L17" s="64">
        <f>SUM('[12] Физический_ежемесячный'!Z17:AB17)</f>
        <v>1890141908.2819996</v>
      </c>
      <c r="M17" s="64">
        <f>SUM('[12] Физический_ежемесячный'!AC17:AE17)</f>
        <v>2231566778.1199999</v>
      </c>
      <c r="N17" s="64">
        <f>SUM('[12] Физический_ежемесячный'!AF17:AH17)</f>
        <v>1385386596.0710001</v>
      </c>
      <c r="O17" s="64">
        <f>SUM('[12] Физический_ежемесячный'!AI17:AK17)</f>
        <v>1525925811.2089999</v>
      </c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5"/>
    </row>
    <row r="18" spans="2:29">
      <c r="B18" s="11" t="s">
        <v>94</v>
      </c>
      <c r="C18" s="9" t="s">
        <v>22</v>
      </c>
      <c r="D18" s="9"/>
      <c r="E18" s="64">
        <v>1320794625.2564998</v>
      </c>
      <c r="F18" s="64">
        <v>793210814.13999939</v>
      </c>
      <c r="G18" s="64">
        <v>782256808.44679976</v>
      </c>
      <c r="H18" s="64">
        <v>954470690.96560001</v>
      </c>
      <c r="I18" s="64">
        <v>1152483614.4063997</v>
      </c>
      <c r="J18" s="64">
        <v>684578098.39740992</v>
      </c>
      <c r="K18" s="64">
        <v>814770018.84750032</v>
      </c>
      <c r="L18" s="64">
        <v>992348385.20240021</v>
      </c>
      <c r="M18" s="64">
        <v>1143807511.2565</v>
      </c>
      <c r="N18" s="64">
        <v>695950098.39741004</v>
      </c>
      <c r="O18" s="64">
        <f>SUM('[12] Физический_ежемесячный'!AI18:AK18)</f>
        <v>0</v>
      </c>
    </row>
    <row r="19" spans="2:29" ht="13.15">
      <c r="B19" s="14" t="s">
        <v>0</v>
      </c>
      <c r="C19" s="9" t="s">
        <v>22</v>
      </c>
      <c r="D19" s="9"/>
      <c r="E19" s="70">
        <f>SUM(E7:E18)</f>
        <v>4928947249</v>
      </c>
      <c r="F19" s="70">
        <f t="shared" ref="F19:O19" si="1">SUM(F7:F18)</f>
        <v>4213237539</v>
      </c>
      <c r="G19" s="70">
        <f t="shared" si="1"/>
        <v>4441620734</v>
      </c>
      <c r="H19" s="70">
        <f t="shared" si="1"/>
        <v>4312635928</v>
      </c>
      <c r="I19" s="70">
        <f t="shared" si="1"/>
        <v>4864121545</v>
      </c>
      <c r="J19" s="70">
        <f t="shared" si="1"/>
        <v>4182406618</v>
      </c>
      <c r="K19" s="70">
        <f t="shared" si="1"/>
        <v>4854136270</v>
      </c>
      <c r="L19" s="70">
        <f t="shared" si="1"/>
        <v>4862514856</v>
      </c>
      <c r="M19" s="70">
        <f t="shared" si="1"/>
        <v>5419127205.7482195</v>
      </c>
      <c r="N19" s="70">
        <f t="shared" si="1"/>
        <v>4797184329.2697105</v>
      </c>
      <c r="O19" s="70">
        <f t="shared" si="1"/>
        <v>4530306854.8182001</v>
      </c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</row>
    <row r="20" spans="2:29">
      <c r="B20" s="12"/>
      <c r="C20" s="9"/>
      <c r="D20" s="9"/>
      <c r="E20" s="13"/>
      <c r="F20" s="13"/>
      <c r="G20" s="13"/>
      <c r="H20" s="13"/>
      <c r="O20" s="130"/>
    </row>
    <row r="21" spans="2:29">
      <c r="E21" s="64"/>
      <c r="F21" s="64"/>
      <c r="G21" s="64"/>
      <c r="H21" s="64"/>
      <c r="I21" s="64"/>
      <c r="J21" s="64"/>
      <c r="K21" s="64"/>
      <c r="L21" s="64"/>
      <c r="N21" s="64"/>
      <c r="O21" s="132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AN31"/>
  <sheetViews>
    <sheetView topLeftCell="C1" zoomScale="80" zoomScaleNormal="80" workbookViewId="0">
      <selection activeCell="U28" sqref="U28"/>
    </sheetView>
  </sheetViews>
  <sheetFormatPr defaultColWidth="8" defaultRowHeight="12.75"/>
  <cols>
    <col min="1" max="1" width="8" style="7"/>
    <col min="2" max="2" width="39.73046875" style="15" customWidth="1"/>
    <col min="3" max="4" width="7.73046875" style="16" customWidth="1"/>
    <col min="5" max="5" width="12" style="7" bestFit="1" customWidth="1"/>
    <col min="6" max="31" width="8" style="7"/>
    <col min="32" max="32" width="8.73046875" style="7" customWidth="1"/>
    <col min="33" max="33" width="8.265625" style="7" customWidth="1"/>
    <col min="34" max="34" width="9" style="7" customWidth="1"/>
    <col min="35" max="37" width="9.1328125" style="7" customWidth="1"/>
    <col min="38" max="40" width="19.59765625" style="7" bestFit="1" customWidth="1"/>
    <col min="41" max="16384" width="8" style="7"/>
  </cols>
  <sheetData>
    <row r="1" spans="1:37" s="6" customFormat="1" ht="15.4" thickBot="1">
      <c r="A1" s="3" t="s">
        <v>95</v>
      </c>
      <c r="B1" s="4"/>
      <c r="C1" s="5" t="s">
        <v>20</v>
      </c>
      <c r="D1" s="5" t="s">
        <v>21</v>
      </c>
      <c r="E1" s="19">
        <v>44927</v>
      </c>
      <c r="F1" s="19">
        <v>44958</v>
      </c>
      <c r="G1" s="19">
        <v>44986</v>
      </c>
      <c r="H1" s="19">
        <v>45017</v>
      </c>
      <c r="I1" s="19">
        <v>45047</v>
      </c>
      <c r="J1" s="19">
        <v>45078</v>
      </c>
      <c r="K1" s="19">
        <v>45108</v>
      </c>
      <c r="L1" s="19">
        <v>45139</v>
      </c>
      <c r="M1" s="19">
        <v>45170</v>
      </c>
      <c r="N1" s="19">
        <v>45200</v>
      </c>
      <c r="O1" s="19">
        <v>45231</v>
      </c>
      <c r="P1" s="19">
        <v>45261</v>
      </c>
      <c r="Q1" s="19">
        <v>45292</v>
      </c>
      <c r="R1" s="19">
        <v>45323</v>
      </c>
      <c r="S1" s="19">
        <v>45352</v>
      </c>
      <c r="T1" s="19">
        <v>45383</v>
      </c>
      <c r="U1" s="19">
        <v>45413</v>
      </c>
      <c r="V1" s="19">
        <v>45444</v>
      </c>
      <c r="W1" s="19">
        <v>45474</v>
      </c>
      <c r="X1" s="19">
        <v>45505</v>
      </c>
      <c r="Y1" s="19">
        <v>45536</v>
      </c>
      <c r="Z1" s="19">
        <v>45566</v>
      </c>
      <c r="AA1" s="19">
        <v>45597</v>
      </c>
      <c r="AB1" s="19">
        <v>45627</v>
      </c>
      <c r="AC1" s="19">
        <v>45658</v>
      </c>
      <c r="AD1" s="19">
        <v>45689</v>
      </c>
      <c r="AE1" s="19">
        <v>45717</v>
      </c>
      <c r="AF1" s="19">
        <v>45748</v>
      </c>
      <c r="AG1" s="19">
        <v>45778</v>
      </c>
      <c r="AH1" s="19">
        <v>45809</v>
      </c>
      <c r="AI1" s="19">
        <v>45839</v>
      </c>
      <c r="AJ1" s="19">
        <v>45870</v>
      </c>
      <c r="AK1" s="19">
        <v>45901</v>
      </c>
    </row>
    <row r="2" spans="1:37">
      <c r="B2" s="11" t="s">
        <v>96</v>
      </c>
      <c r="C2" s="9" t="s">
        <v>22</v>
      </c>
      <c r="D2" s="9"/>
      <c r="E2" s="64">
        <v>2127593954</v>
      </c>
      <c r="F2" s="64">
        <v>1474770765</v>
      </c>
      <c r="G2" s="64">
        <v>1302146092</v>
      </c>
      <c r="H2" s="64">
        <v>1301320288</v>
      </c>
      <c r="I2" s="64">
        <v>1388898419</v>
      </c>
      <c r="J2" s="64">
        <v>1495732462</v>
      </c>
      <c r="K2" s="64">
        <v>1611826747</v>
      </c>
      <c r="L2" s="64">
        <v>1523762140</v>
      </c>
      <c r="M2" s="64">
        <v>1284451994</v>
      </c>
      <c r="N2" s="64">
        <v>1137067874</v>
      </c>
      <c r="O2" s="64">
        <v>1358946899</v>
      </c>
      <c r="P2" s="64">
        <v>1803667575</v>
      </c>
      <c r="Q2" s="64">
        <v>1806223365</v>
      </c>
      <c r="R2" s="64">
        <v>1719497233</v>
      </c>
      <c r="S2" s="64">
        <v>1323835510</v>
      </c>
      <c r="T2" s="64">
        <v>1212770031</v>
      </c>
      <c r="U2" s="64">
        <v>1408610018</v>
      </c>
      <c r="V2" s="64">
        <v>1541251596</v>
      </c>
      <c r="W2" s="64">
        <v>1753524724</v>
      </c>
      <c r="X2" s="64">
        <v>1731349755</v>
      </c>
      <c r="Y2" s="64">
        <v>1357066603</v>
      </c>
      <c r="Z2" s="64">
        <v>1269411475</v>
      </c>
      <c r="AA2" s="64">
        <v>1560461230</v>
      </c>
      <c r="AB2" s="64">
        <v>2019053974</v>
      </c>
      <c r="AC2" s="7">
        <v>1987.46</v>
      </c>
      <c r="AD2" s="7">
        <v>1727.44</v>
      </c>
      <c r="AE2" s="7">
        <v>1692.48</v>
      </c>
      <c r="AF2" s="7">
        <v>1728.64</v>
      </c>
      <c r="AG2" s="7">
        <v>1653.395</v>
      </c>
      <c r="AH2" s="7">
        <v>1394.3700000000003</v>
      </c>
      <c r="AI2" s="130">
        <v>1946.096</v>
      </c>
      <c r="AJ2" s="130">
        <v>1735.1379999999999</v>
      </c>
      <c r="AK2" s="130">
        <v>1423.17</v>
      </c>
    </row>
    <row r="3" spans="1:37">
      <c r="B3" s="11" t="s">
        <v>122</v>
      </c>
      <c r="C3" s="9" t="s">
        <v>22</v>
      </c>
      <c r="D3" s="9"/>
      <c r="E3" s="64">
        <v>6344193</v>
      </c>
      <c r="F3" s="64">
        <v>8017179</v>
      </c>
      <c r="G3" s="64">
        <v>10075066</v>
      </c>
      <c r="H3" s="64">
        <v>9955509</v>
      </c>
      <c r="I3" s="64">
        <v>9701042</v>
      </c>
      <c r="J3" s="64">
        <v>7629819</v>
      </c>
      <c r="K3" s="64">
        <v>8223203</v>
      </c>
      <c r="L3" s="64">
        <v>7887220</v>
      </c>
      <c r="M3" s="64">
        <v>5469430</v>
      </c>
      <c r="N3" s="64">
        <v>4918872</v>
      </c>
      <c r="O3" s="64">
        <v>3890259</v>
      </c>
      <c r="P3" s="64">
        <v>4144449</v>
      </c>
      <c r="Q3" s="64">
        <v>3859253</v>
      </c>
      <c r="R3" s="64">
        <v>4235945</v>
      </c>
      <c r="S3" s="64">
        <v>6470239</v>
      </c>
      <c r="T3" s="64">
        <v>7596977</v>
      </c>
      <c r="U3" s="64">
        <v>5099497</v>
      </c>
      <c r="V3" s="64">
        <v>7078499</v>
      </c>
      <c r="W3" s="64">
        <v>4273025</v>
      </c>
      <c r="X3" s="64">
        <v>3876241</v>
      </c>
      <c r="Y3" s="64">
        <v>4045922</v>
      </c>
      <c r="Z3" s="64">
        <v>5273101</v>
      </c>
      <c r="AA3" s="64">
        <v>5160534</v>
      </c>
      <c r="AB3" s="64">
        <v>3154542</v>
      </c>
      <c r="AC3" s="7">
        <v>2.94</v>
      </c>
      <c r="AD3" s="7">
        <v>2.34</v>
      </c>
      <c r="AE3" s="7">
        <v>6.46</v>
      </c>
      <c r="AF3" s="131">
        <v>4.5899999999999181</v>
      </c>
      <c r="AG3" s="131">
        <v>-7.9049999999999727</v>
      </c>
      <c r="AH3" s="131">
        <v>24.090000000000053</v>
      </c>
      <c r="AI3" s="130">
        <v>3.355</v>
      </c>
      <c r="AJ3" s="130">
        <v>70.948999999999998</v>
      </c>
      <c r="AK3" s="130">
        <v>44.250999999999998</v>
      </c>
    </row>
    <row r="4" spans="1:37" s="74" customFormat="1" ht="13.15">
      <c r="B4" s="75" t="s">
        <v>0</v>
      </c>
      <c r="C4" s="76" t="s">
        <v>22</v>
      </c>
      <c r="D4" s="77"/>
      <c r="E4" s="70">
        <f>SUM(E2:E3)</f>
        <v>2133938147</v>
      </c>
      <c r="F4" s="70">
        <f t="shared" ref="F4:AB4" si="0">SUM(F2:F3)</f>
        <v>1482787944</v>
      </c>
      <c r="G4" s="70">
        <f t="shared" si="0"/>
        <v>1312221158</v>
      </c>
      <c r="H4" s="70">
        <f t="shared" si="0"/>
        <v>1311275797</v>
      </c>
      <c r="I4" s="70">
        <f t="shared" si="0"/>
        <v>1398599461</v>
      </c>
      <c r="J4" s="70">
        <f t="shared" si="0"/>
        <v>1503362281</v>
      </c>
      <c r="K4" s="70">
        <f t="shared" si="0"/>
        <v>1620049950</v>
      </c>
      <c r="L4" s="70">
        <f t="shared" si="0"/>
        <v>1531649360</v>
      </c>
      <c r="M4" s="70">
        <f t="shared" si="0"/>
        <v>1289921424</v>
      </c>
      <c r="N4" s="70">
        <f t="shared" si="0"/>
        <v>1141986746</v>
      </c>
      <c r="O4" s="70">
        <f t="shared" si="0"/>
        <v>1362837158</v>
      </c>
      <c r="P4" s="70">
        <f t="shared" si="0"/>
        <v>1807812024</v>
      </c>
      <c r="Q4" s="70">
        <f t="shared" si="0"/>
        <v>1810082618</v>
      </c>
      <c r="R4" s="70">
        <f t="shared" si="0"/>
        <v>1723733178</v>
      </c>
      <c r="S4" s="70">
        <f t="shared" si="0"/>
        <v>1330305749</v>
      </c>
      <c r="T4" s="70">
        <f t="shared" si="0"/>
        <v>1220367008</v>
      </c>
      <c r="U4" s="70">
        <f t="shared" si="0"/>
        <v>1413709515</v>
      </c>
      <c r="V4" s="70">
        <f t="shared" si="0"/>
        <v>1548330095</v>
      </c>
      <c r="W4" s="70">
        <f t="shared" si="0"/>
        <v>1757797749</v>
      </c>
      <c r="X4" s="70">
        <f t="shared" si="0"/>
        <v>1735225996</v>
      </c>
      <c r="Y4" s="70">
        <f t="shared" si="0"/>
        <v>1361112525</v>
      </c>
      <c r="Z4" s="70">
        <f t="shared" si="0"/>
        <v>1274684576</v>
      </c>
      <c r="AA4" s="70">
        <f t="shared" si="0"/>
        <v>1565621764</v>
      </c>
      <c r="AB4" s="70">
        <f t="shared" si="0"/>
        <v>2022208516</v>
      </c>
      <c r="AC4" s="129">
        <f>SUM(AC2:AC3)</f>
        <v>1990.4</v>
      </c>
      <c r="AD4" s="129">
        <f t="shared" ref="AD4:AK4" si="1">SUM(AD2:AD3)</f>
        <v>1729.78</v>
      </c>
      <c r="AE4" s="129">
        <f t="shared" si="1"/>
        <v>1698.94</v>
      </c>
      <c r="AF4" s="129">
        <f t="shared" si="1"/>
        <v>1733.23</v>
      </c>
      <c r="AG4" s="129">
        <f t="shared" si="1"/>
        <v>1645.49</v>
      </c>
      <c r="AH4" s="129">
        <f t="shared" si="1"/>
        <v>1418.4600000000005</v>
      </c>
      <c r="AI4" s="129">
        <f t="shared" si="1"/>
        <v>1949.451</v>
      </c>
      <c r="AJ4" s="129">
        <f t="shared" si="1"/>
        <v>1806.087</v>
      </c>
      <c r="AK4" s="129">
        <f t="shared" si="1"/>
        <v>1467.421</v>
      </c>
    </row>
    <row r="5" spans="1:37">
      <c r="B5" s="18"/>
      <c r="C5" s="17"/>
      <c r="D5" s="17"/>
    </row>
    <row r="6" spans="1:37" s="6" customFormat="1" ht="15.4" thickBot="1">
      <c r="A6" s="3" t="s">
        <v>93</v>
      </c>
      <c r="B6" s="4"/>
      <c r="C6" s="5" t="s">
        <v>20</v>
      </c>
      <c r="D6" s="5" t="s">
        <v>21</v>
      </c>
      <c r="E6" s="19">
        <v>44927</v>
      </c>
      <c r="F6" s="19">
        <v>44958</v>
      </c>
      <c r="G6" s="19">
        <v>44986</v>
      </c>
      <c r="H6" s="19">
        <v>45017</v>
      </c>
      <c r="I6" s="19">
        <v>45047</v>
      </c>
      <c r="J6" s="19">
        <v>45078</v>
      </c>
      <c r="K6" s="19">
        <v>45108</v>
      </c>
      <c r="L6" s="19">
        <v>45139</v>
      </c>
      <c r="M6" s="19">
        <v>45170</v>
      </c>
      <c r="N6" s="19">
        <v>45200</v>
      </c>
      <c r="O6" s="19">
        <v>45231</v>
      </c>
      <c r="P6" s="19">
        <v>45261</v>
      </c>
      <c r="Q6" s="19">
        <v>45292</v>
      </c>
      <c r="R6" s="19">
        <v>45323</v>
      </c>
      <c r="S6" s="19">
        <v>45352</v>
      </c>
      <c r="T6" s="19">
        <v>45383</v>
      </c>
      <c r="U6" s="19">
        <v>45413</v>
      </c>
      <c r="V6" s="19">
        <v>45444</v>
      </c>
      <c r="W6" s="19">
        <v>45474</v>
      </c>
      <c r="X6" s="19">
        <v>45505</v>
      </c>
      <c r="Y6" s="19">
        <v>45536</v>
      </c>
      <c r="Z6" s="19">
        <v>45566</v>
      </c>
      <c r="AA6" s="19">
        <v>45597</v>
      </c>
      <c r="AB6" s="19">
        <v>45627</v>
      </c>
      <c r="AC6" s="19">
        <v>45658</v>
      </c>
      <c r="AD6" s="19">
        <v>45689</v>
      </c>
      <c r="AE6" s="19">
        <v>45717</v>
      </c>
      <c r="AF6" s="19">
        <v>45748</v>
      </c>
      <c r="AG6" s="19">
        <v>45778</v>
      </c>
      <c r="AH6" s="19">
        <v>45809</v>
      </c>
      <c r="AI6" s="19">
        <v>45839</v>
      </c>
      <c r="AJ6" s="19">
        <v>45870</v>
      </c>
      <c r="AK6" s="19">
        <v>45901</v>
      </c>
    </row>
    <row r="7" spans="1:37" ht="16.350000000000001" customHeight="1">
      <c r="B7" s="44" t="s">
        <v>111</v>
      </c>
      <c r="C7" s="9" t="s">
        <v>110</v>
      </c>
      <c r="D7" s="37"/>
      <c r="E7" s="64">
        <v>227744558.10109997</v>
      </c>
      <c r="F7" s="64">
        <v>206887616.76999998</v>
      </c>
      <c r="G7" s="64">
        <v>203639244.67000002</v>
      </c>
      <c r="H7" s="64">
        <v>200644111.35999995</v>
      </c>
      <c r="I7" s="64">
        <v>215482320.75</v>
      </c>
      <c r="J7" s="64">
        <v>218106299.38</v>
      </c>
      <c r="K7" s="64">
        <v>243328106.37</v>
      </c>
      <c r="L7" s="64">
        <v>248277212.83000004</v>
      </c>
      <c r="M7" s="64">
        <v>229832231.44120002</v>
      </c>
      <c r="N7" s="64">
        <v>233389196.87440002</v>
      </c>
      <c r="O7" s="64">
        <v>248220331.84999996</v>
      </c>
      <c r="P7" s="64">
        <v>284202062.37000006</v>
      </c>
      <c r="Q7" s="64">
        <v>277521043.20000005</v>
      </c>
      <c r="R7" s="64">
        <v>253405215.95000005</v>
      </c>
      <c r="S7" s="64">
        <v>224166536.05000004</v>
      </c>
      <c r="T7" s="64">
        <v>227282925.07999995</v>
      </c>
      <c r="U7" s="64">
        <v>252796856.75</v>
      </c>
      <c r="V7" s="64">
        <v>255287504.87</v>
      </c>
      <c r="W7" s="64">
        <v>284438789.01799995</v>
      </c>
      <c r="X7" s="64">
        <v>298744712.57080007</v>
      </c>
      <c r="Y7" s="64">
        <v>273391467.45970005</v>
      </c>
      <c r="Z7" s="64">
        <v>284017877.44199997</v>
      </c>
      <c r="AA7" s="64">
        <v>302301279.12159997</v>
      </c>
      <c r="AB7" s="64">
        <v>323603318.87070006</v>
      </c>
      <c r="AC7" s="64">
        <v>321363652.4205001</v>
      </c>
      <c r="AD7" s="64">
        <v>308206452.94199997</v>
      </c>
      <c r="AE7" s="64">
        <v>292288845.50660002</v>
      </c>
      <c r="AF7" s="64">
        <v>282985298.5097</v>
      </c>
      <c r="AG7" s="64">
        <v>336633625.31809986</v>
      </c>
      <c r="AH7" s="64">
        <v>347400585.4696002</v>
      </c>
      <c r="AI7" s="64">
        <v>387962289.96449995</v>
      </c>
      <c r="AJ7" s="64">
        <v>387761035.398</v>
      </c>
      <c r="AK7" s="64">
        <v>365779393.50180006</v>
      </c>
    </row>
    <row r="8" spans="1:37" ht="16.350000000000001" customHeight="1">
      <c r="B8" s="40" t="s">
        <v>112</v>
      </c>
      <c r="C8" s="9" t="s">
        <v>110</v>
      </c>
      <c r="D8" s="39"/>
      <c r="E8" s="64">
        <v>1017074</v>
      </c>
      <c r="F8" s="64">
        <v>246204</v>
      </c>
      <c r="G8" s="64">
        <v>2539158.4</v>
      </c>
      <c r="H8" s="64">
        <v>3903742.8</v>
      </c>
      <c r="I8" s="64">
        <v>605849.73000000045</v>
      </c>
      <c r="J8" s="64">
        <v>-2573548.7100000009</v>
      </c>
      <c r="K8" s="64">
        <v>614114.73000000045</v>
      </c>
      <c r="L8" s="64">
        <v>434483.26999999955</v>
      </c>
      <c r="M8" s="64">
        <v>585582.55000000075</v>
      </c>
      <c r="N8" s="64">
        <v>884865.73000000045</v>
      </c>
      <c r="O8" s="64">
        <v>774647.1799999997</v>
      </c>
      <c r="P8" s="64">
        <v>865495.3599999994</v>
      </c>
      <c r="Q8" s="64">
        <v>706115.26999999955</v>
      </c>
      <c r="R8" s="64">
        <v>659839.1799999997</v>
      </c>
      <c r="S8" s="64">
        <v>714582.36359999981</v>
      </c>
      <c r="T8" s="64">
        <v>638704.08999999985</v>
      </c>
      <c r="U8" s="64">
        <v>320309.54549999908</v>
      </c>
      <c r="V8" s="64">
        <v>612775.09008999914</v>
      </c>
      <c r="W8" s="64">
        <v>884770.81799999997</v>
      </c>
      <c r="X8" s="64">
        <v>758352.54549999908</v>
      </c>
      <c r="Y8" s="64">
        <v>711202.90919999965</v>
      </c>
      <c r="Z8" s="64">
        <v>691312.90000000037</v>
      </c>
      <c r="AA8" s="64">
        <v>1395158.4545999998</v>
      </c>
      <c r="AB8" s="64">
        <v>806634</v>
      </c>
      <c r="AC8" s="64">
        <v>839094.27270000009</v>
      </c>
      <c r="AD8" s="64">
        <v>759525.98</v>
      </c>
      <c r="AE8" s="64">
        <v>1591054.4453999996</v>
      </c>
      <c r="AF8" s="64">
        <v>350144.88189999992</v>
      </c>
      <c r="AG8" s="64">
        <v>753870.36369999964</v>
      </c>
      <c r="AH8" s="64">
        <v>642217.36360000074</v>
      </c>
      <c r="AI8" s="64">
        <v>968920.72729999945</v>
      </c>
      <c r="AJ8" s="64">
        <v>970406.00899999961</v>
      </c>
      <c r="AK8" s="64">
        <v>998274.74540000036</v>
      </c>
    </row>
    <row r="9" spans="1:37" ht="16.350000000000001" customHeight="1">
      <c r="B9" s="40" t="s">
        <v>113</v>
      </c>
      <c r="C9" s="9" t="s">
        <v>110</v>
      </c>
      <c r="D9" s="39"/>
      <c r="E9" s="64">
        <v>2915733.1124</v>
      </c>
      <c r="F9" s="64">
        <v>2424314.94</v>
      </c>
      <c r="G9" s="64">
        <v>1707546.2</v>
      </c>
      <c r="H9" s="64">
        <v>1227051.28</v>
      </c>
      <c r="I9" s="64">
        <v>1072725.1299999999</v>
      </c>
      <c r="J9" s="64">
        <v>1206473.02</v>
      </c>
      <c r="K9" s="64">
        <v>2315487.25</v>
      </c>
      <c r="L9" s="64">
        <v>953878.36</v>
      </c>
      <c r="M9" s="64">
        <v>1044208.44</v>
      </c>
      <c r="N9" s="64">
        <v>1043061.96</v>
      </c>
      <c r="O9" s="64">
        <v>1902058.57</v>
      </c>
      <c r="P9" s="64">
        <v>2196219.2400000002</v>
      </c>
      <c r="Q9" s="64">
        <v>1843028.76</v>
      </c>
      <c r="R9" s="64">
        <v>2280997.0300000003</v>
      </c>
      <c r="S9" s="64">
        <v>1368981.3900000001</v>
      </c>
      <c r="T9" s="64">
        <v>1195443.31</v>
      </c>
      <c r="U9" s="64">
        <v>1063413.19</v>
      </c>
      <c r="V9" s="64">
        <v>1014535</v>
      </c>
      <c r="W9" s="64">
        <v>1194590.31</v>
      </c>
      <c r="X9" s="64">
        <v>1174687.8999999999</v>
      </c>
      <c r="Y9" s="64">
        <v>1113369.1499999999</v>
      </c>
      <c r="Z9" s="64">
        <v>1439129.03</v>
      </c>
      <c r="AA9" s="64">
        <v>1877230.26</v>
      </c>
      <c r="AB9" s="64">
        <v>2613827.62</v>
      </c>
      <c r="AC9" s="64">
        <v>2616387.4299999997</v>
      </c>
      <c r="AD9" s="64">
        <v>2484663.2039999999</v>
      </c>
      <c r="AE9" s="64">
        <v>1568820.6330000001</v>
      </c>
      <c r="AF9" s="64">
        <v>1167110.8530000001</v>
      </c>
      <c r="AG9" s="64">
        <v>1359876.166</v>
      </c>
      <c r="AH9" s="64">
        <v>1105592.25</v>
      </c>
      <c r="AI9" s="64">
        <v>1975665.3389999999</v>
      </c>
      <c r="AJ9" s="64">
        <v>1422319.4750000001</v>
      </c>
      <c r="AK9" s="64">
        <v>1294589.585</v>
      </c>
    </row>
    <row r="10" spans="1:37" ht="16.350000000000001" customHeight="1">
      <c r="B10" s="40" t="s">
        <v>114</v>
      </c>
      <c r="C10" s="9" t="s">
        <v>110</v>
      </c>
      <c r="D10" s="39"/>
      <c r="E10" s="64">
        <v>93097696.409999996</v>
      </c>
      <c r="F10" s="64">
        <v>65386672.289999999</v>
      </c>
      <c r="G10" s="64">
        <v>56038112.489999995</v>
      </c>
      <c r="H10" s="64">
        <v>35417602.770000003</v>
      </c>
      <c r="I10" s="64">
        <v>35348194.479999997</v>
      </c>
      <c r="J10" s="64">
        <v>38659482.080000006</v>
      </c>
      <c r="K10" s="64">
        <v>40480338.43</v>
      </c>
      <c r="L10" s="64">
        <v>38135441.630000003</v>
      </c>
      <c r="M10" s="64">
        <v>36720075.872000001</v>
      </c>
      <c r="N10" s="64">
        <v>39275639.280000001</v>
      </c>
      <c r="O10" s="64">
        <v>56189873.75999999</v>
      </c>
      <c r="P10" s="64">
        <v>71929789.879999995</v>
      </c>
      <c r="Q10" s="64">
        <v>73634503.409999996</v>
      </c>
      <c r="R10" s="64">
        <v>75743670.139999986</v>
      </c>
      <c r="S10" s="64">
        <v>56023240.959999993</v>
      </c>
      <c r="T10" s="64">
        <v>40007971.799999997</v>
      </c>
      <c r="U10" s="64">
        <v>40072005</v>
      </c>
      <c r="V10" s="64">
        <v>39756947.890000001</v>
      </c>
      <c r="W10" s="64">
        <v>42840453.776999995</v>
      </c>
      <c r="X10" s="64">
        <v>45055964.497300006</v>
      </c>
      <c r="Y10" s="64">
        <v>38820433.777000003</v>
      </c>
      <c r="Z10" s="64">
        <v>44165708.979999997</v>
      </c>
      <c r="AA10" s="64">
        <v>61852648.020499997</v>
      </c>
      <c r="AB10" s="64">
        <v>77770223.990199998</v>
      </c>
      <c r="AC10" s="64">
        <v>85828871.453099996</v>
      </c>
      <c r="AD10" s="64">
        <v>70683613.091999993</v>
      </c>
      <c r="AE10" s="64">
        <v>67656138.863000005</v>
      </c>
      <c r="AF10" s="64">
        <v>42339780.035900004</v>
      </c>
      <c r="AG10" s="64">
        <v>40486575.288099997</v>
      </c>
      <c r="AH10" s="64">
        <v>45911130.129699998</v>
      </c>
      <c r="AI10" s="64">
        <v>49277767.8935</v>
      </c>
      <c r="AJ10" s="64">
        <v>45967832.543000005</v>
      </c>
      <c r="AK10" s="64">
        <v>37495656.113700002</v>
      </c>
    </row>
    <row r="11" spans="1:37" ht="16.350000000000001" customHeight="1">
      <c r="B11" s="40" t="s">
        <v>85</v>
      </c>
      <c r="C11" s="9" t="s">
        <v>110</v>
      </c>
      <c r="D11" s="39"/>
      <c r="E11" s="64">
        <v>18198270.600000001</v>
      </c>
      <c r="F11" s="64">
        <v>14315692.800000001</v>
      </c>
      <c r="G11" s="64">
        <v>46294442</v>
      </c>
      <c r="H11" s="64">
        <v>217803941.32999998</v>
      </c>
      <c r="I11" s="64">
        <v>299513713.80000001</v>
      </c>
      <c r="J11" s="64">
        <v>370753819.30000001</v>
      </c>
      <c r="K11" s="64">
        <v>396854327.28999996</v>
      </c>
      <c r="L11" s="64">
        <v>356585721</v>
      </c>
      <c r="M11" s="64">
        <v>269738144.60000002</v>
      </c>
      <c r="N11" s="64">
        <v>40334051.079999998</v>
      </c>
      <c r="O11" s="64">
        <v>25132816.600000001</v>
      </c>
      <c r="P11" s="64">
        <v>25773216.800000001</v>
      </c>
      <c r="Q11" s="64">
        <v>19907117.609999999</v>
      </c>
      <c r="R11" s="64">
        <v>25848911.890000001</v>
      </c>
      <c r="S11" s="64">
        <v>14710775.800000001</v>
      </c>
      <c r="T11" s="64">
        <v>108459389.2</v>
      </c>
      <c r="U11" s="64">
        <v>236908830.74000001</v>
      </c>
      <c r="V11" s="64">
        <v>283002690</v>
      </c>
      <c r="W11" s="64">
        <v>324487900.81999999</v>
      </c>
      <c r="X11" s="64">
        <v>349332419</v>
      </c>
      <c r="Y11" s="64">
        <v>210700778.36000001</v>
      </c>
      <c r="Z11" s="64">
        <v>48495745.979999997</v>
      </c>
      <c r="AA11" s="64">
        <v>19411069.940000001</v>
      </c>
      <c r="AB11" s="64">
        <v>11665700.6</v>
      </c>
      <c r="AC11" s="64">
        <v>16091620.039999999</v>
      </c>
      <c r="AD11" s="64">
        <v>15120745.300000001</v>
      </c>
      <c r="AE11" s="64">
        <v>33170412.690000001</v>
      </c>
      <c r="AF11" s="64">
        <v>155642806.45999998</v>
      </c>
      <c r="AG11" s="64">
        <v>334778057.70999998</v>
      </c>
      <c r="AH11" s="64">
        <v>364418475.24000001</v>
      </c>
      <c r="AI11" s="64">
        <v>407615523.68299997</v>
      </c>
      <c r="AJ11" s="64">
        <v>367052019.5</v>
      </c>
      <c r="AK11" s="64">
        <v>239744377.11199999</v>
      </c>
    </row>
    <row r="12" spans="1:37" ht="16.350000000000001" customHeight="1">
      <c r="B12" s="40" t="s">
        <v>115</v>
      </c>
      <c r="C12" s="9" t="s">
        <v>110</v>
      </c>
      <c r="D12" s="39"/>
      <c r="E12" s="64">
        <v>75241240.460000008</v>
      </c>
      <c r="F12" s="64">
        <v>54065216.079999998</v>
      </c>
      <c r="G12" s="64">
        <v>56868185.239999995</v>
      </c>
      <c r="H12" s="64">
        <v>42361449.269999996</v>
      </c>
      <c r="I12" s="64">
        <v>59492908.480000004</v>
      </c>
      <c r="J12" s="64">
        <v>51036942.179999992</v>
      </c>
      <c r="K12" s="64">
        <v>50485299.170000002</v>
      </c>
      <c r="L12" s="64">
        <v>59118047.420000002</v>
      </c>
      <c r="M12" s="64">
        <v>44681484.920000002</v>
      </c>
      <c r="N12" s="64">
        <v>45121617.969999999</v>
      </c>
      <c r="O12" s="64">
        <v>61822604.190000005</v>
      </c>
      <c r="P12" s="64">
        <v>48327903.25</v>
      </c>
      <c r="Q12" s="64">
        <v>54822523.149999999</v>
      </c>
      <c r="R12" s="64">
        <v>55628143.509999998</v>
      </c>
      <c r="S12" s="64">
        <v>46682009.109999999</v>
      </c>
      <c r="T12" s="64">
        <v>44694834.949999996</v>
      </c>
      <c r="U12" s="64">
        <v>44849324.32</v>
      </c>
      <c r="V12" s="64">
        <v>57789528.100000001</v>
      </c>
      <c r="W12" s="64">
        <v>63680096.719999999</v>
      </c>
      <c r="X12" s="64">
        <v>59570226.516000003</v>
      </c>
      <c r="Y12" s="64">
        <v>51721368.147</v>
      </c>
      <c r="Z12" s="64">
        <v>54452750.294</v>
      </c>
      <c r="AA12" s="64">
        <v>62680761.970000006</v>
      </c>
      <c r="AB12" s="64">
        <v>69344600.961999997</v>
      </c>
      <c r="AC12" s="64">
        <v>66045684.145999998</v>
      </c>
      <c r="AD12" s="64">
        <v>48391930.323000006</v>
      </c>
      <c r="AE12" s="64">
        <v>54009111.345999993</v>
      </c>
      <c r="AF12" s="64">
        <v>35014450.952</v>
      </c>
      <c r="AG12" s="64">
        <v>35134182.332999997</v>
      </c>
      <c r="AH12" s="64">
        <v>42715721.157000005</v>
      </c>
      <c r="AI12" s="64">
        <v>46899348.169</v>
      </c>
      <c r="AJ12" s="64">
        <v>45767179.559999995</v>
      </c>
      <c r="AK12" s="64">
        <v>37290962.982000001</v>
      </c>
    </row>
    <row r="13" spans="1:37" ht="16.350000000000001" customHeight="1">
      <c r="B13" s="40" t="s">
        <v>116</v>
      </c>
      <c r="C13" s="9" t="s">
        <v>110</v>
      </c>
      <c r="D13" s="39"/>
      <c r="E13" s="64">
        <v>15474787</v>
      </c>
      <c r="F13" s="64">
        <v>7657110</v>
      </c>
      <c r="G13" s="64">
        <v>20501330</v>
      </c>
      <c r="H13" s="64">
        <v>12854566</v>
      </c>
      <c r="I13" s="64">
        <v>24268466</v>
      </c>
      <c r="J13" s="64">
        <v>35326210</v>
      </c>
      <c r="K13" s="64">
        <v>38143766</v>
      </c>
      <c r="L13" s="64">
        <v>25783042</v>
      </c>
      <c r="M13" s="64">
        <v>19446802</v>
      </c>
      <c r="N13" s="64">
        <v>9456863</v>
      </c>
      <c r="O13" s="64">
        <v>7824866</v>
      </c>
      <c r="P13" s="64">
        <v>12820333</v>
      </c>
      <c r="Q13" s="64">
        <v>12423653.09</v>
      </c>
      <c r="R13" s="64">
        <v>8033740.5</v>
      </c>
      <c r="S13" s="64">
        <v>8606665</v>
      </c>
      <c r="T13" s="64">
        <v>21396398</v>
      </c>
      <c r="U13" s="64">
        <v>57961781</v>
      </c>
      <c r="V13" s="64">
        <v>105329493</v>
      </c>
      <c r="W13" s="64">
        <v>115068208</v>
      </c>
      <c r="X13" s="64">
        <v>60602428</v>
      </c>
      <c r="Y13" s="64">
        <v>39754138</v>
      </c>
      <c r="Z13" s="64">
        <v>16090448.629999999</v>
      </c>
      <c r="AA13" s="64">
        <v>10691279</v>
      </c>
      <c r="AB13" s="64">
        <v>13327065</v>
      </c>
      <c r="AC13" s="64">
        <v>11104826</v>
      </c>
      <c r="AD13" s="64">
        <v>11480067.34</v>
      </c>
      <c r="AE13" s="64">
        <v>20794960.594419673</v>
      </c>
      <c r="AF13" s="64">
        <v>13920375.35</v>
      </c>
      <c r="AG13" s="64">
        <v>11492762</v>
      </c>
      <c r="AH13" s="64">
        <v>6913869.0899999999</v>
      </c>
      <c r="AI13" s="64">
        <v>15036379</v>
      </c>
      <c r="AJ13" s="64">
        <v>8701709</v>
      </c>
      <c r="AK13" s="64">
        <v>3791985.9279999998</v>
      </c>
    </row>
    <row r="14" spans="1:37" ht="16.350000000000001" customHeight="1">
      <c r="B14" s="40" t="s">
        <v>117</v>
      </c>
      <c r="C14" s="9" t="s">
        <v>110</v>
      </c>
      <c r="D14" s="39"/>
      <c r="E14" s="64">
        <v>145236168</v>
      </c>
      <c r="F14" s="64">
        <v>129472992</v>
      </c>
      <c r="G14" s="64">
        <v>139131093</v>
      </c>
      <c r="H14" s="64">
        <v>134681429</v>
      </c>
      <c r="I14" s="64">
        <v>141371385</v>
      </c>
      <c r="J14" s="64">
        <v>137855336</v>
      </c>
      <c r="K14" s="64">
        <v>145665716</v>
      </c>
      <c r="L14" s="64">
        <v>150318925</v>
      </c>
      <c r="M14" s="64">
        <v>146860330</v>
      </c>
      <c r="N14" s="64">
        <v>153010288.12</v>
      </c>
      <c r="O14" s="64">
        <v>149771612.50999999</v>
      </c>
      <c r="P14" s="64">
        <v>158533299</v>
      </c>
      <c r="Q14" s="64">
        <v>162707398.66999999</v>
      </c>
      <c r="R14" s="64">
        <v>154388757</v>
      </c>
      <c r="S14" s="64">
        <v>164476146.72999999</v>
      </c>
      <c r="T14" s="64">
        <v>159548244.83000001</v>
      </c>
      <c r="U14" s="64">
        <v>166562468.84</v>
      </c>
      <c r="V14" s="64">
        <v>163173039.04000002</v>
      </c>
      <c r="W14" s="64">
        <v>171707607.05000001</v>
      </c>
      <c r="X14" s="64">
        <v>174936748.84999999</v>
      </c>
      <c r="Y14" s="64">
        <v>170227406</v>
      </c>
      <c r="Z14" s="64">
        <v>176329081.44999999</v>
      </c>
      <c r="AA14" s="64">
        <v>176985424</v>
      </c>
      <c r="AB14" s="64">
        <v>196717436</v>
      </c>
      <c r="AC14" s="64">
        <v>203941315</v>
      </c>
      <c r="AD14" s="64">
        <v>185319821</v>
      </c>
      <c r="AE14" s="64">
        <v>205862586</v>
      </c>
      <c r="AF14" s="64">
        <v>198381413</v>
      </c>
      <c r="AG14" s="64">
        <v>201225943.22</v>
      </c>
      <c r="AH14" s="64">
        <v>188617853.13</v>
      </c>
      <c r="AI14" s="64">
        <v>171850429.38</v>
      </c>
      <c r="AJ14" s="64">
        <v>164709235</v>
      </c>
      <c r="AK14" s="64">
        <v>164198463</v>
      </c>
    </row>
    <row r="15" spans="1:37" ht="16.350000000000001" customHeight="1">
      <c r="B15" s="40" t="s">
        <v>118</v>
      </c>
      <c r="C15" s="9" t="s">
        <v>110</v>
      </c>
      <c r="D15" s="39"/>
      <c r="E15" s="64">
        <v>2480113</v>
      </c>
      <c r="F15" s="64">
        <v>1733209</v>
      </c>
      <c r="G15" s="64">
        <v>1202086</v>
      </c>
      <c r="H15" s="64">
        <v>1040154</v>
      </c>
      <c r="I15" s="64">
        <v>590707</v>
      </c>
      <c r="J15" s="64">
        <v>0</v>
      </c>
      <c r="K15" s="64">
        <v>0</v>
      </c>
      <c r="L15" s="64">
        <v>408752</v>
      </c>
      <c r="M15" s="64">
        <v>0</v>
      </c>
      <c r="N15" s="64">
        <v>0</v>
      </c>
      <c r="O15" s="64">
        <v>534352</v>
      </c>
      <c r="P15" s="64">
        <v>1807819</v>
      </c>
      <c r="Q15" s="64">
        <v>2380405</v>
      </c>
      <c r="R15" s="64">
        <v>2383208</v>
      </c>
      <c r="S15" s="64">
        <v>1172602</v>
      </c>
      <c r="T15" s="64">
        <v>1087907</v>
      </c>
      <c r="U15" s="64">
        <v>1494689.1</v>
      </c>
      <c r="V15" s="64">
        <v>1371571</v>
      </c>
      <c r="W15" s="64">
        <v>1576607</v>
      </c>
      <c r="X15" s="64">
        <v>1851827</v>
      </c>
      <c r="Y15" s="64">
        <v>1435405</v>
      </c>
      <c r="Z15" s="64">
        <v>1401676</v>
      </c>
      <c r="AA15" s="64">
        <v>2199821</v>
      </c>
      <c r="AB15" s="64">
        <v>2993785</v>
      </c>
      <c r="AC15" s="64">
        <v>3259925</v>
      </c>
      <c r="AD15" s="64">
        <v>2457165</v>
      </c>
      <c r="AE15" s="64">
        <v>2057307</v>
      </c>
      <c r="AF15" s="64">
        <v>1603013</v>
      </c>
      <c r="AG15" s="64">
        <v>1679001</v>
      </c>
      <c r="AH15" s="64">
        <v>1880385</v>
      </c>
      <c r="AI15" s="64">
        <v>2108631</v>
      </c>
      <c r="AJ15" s="64">
        <v>2450282</v>
      </c>
      <c r="AK15" s="64">
        <v>2169967</v>
      </c>
    </row>
    <row r="16" spans="1:37" ht="16.350000000000001" customHeight="1">
      <c r="B16" s="40" t="s">
        <v>101</v>
      </c>
      <c r="C16" s="9" t="s">
        <v>110</v>
      </c>
      <c r="D16" s="39"/>
      <c r="E16" s="64">
        <v>0</v>
      </c>
      <c r="F16" s="64">
        <v>0</v>
      </c>
      <c r="G16" s="64">
        <v>0</v>
      </c>
      <c r="H16" s="64">
        <v>0</v>
      </c>
      <c r="I16" s="64">
        <v>12981438</v>
      </c>
      <c r="J16" s="64">
        <v>22967732</v>
      </c>
      <c r="K16" s="64">
        <v>14125408</v>
      </c>
      <c r="L16" s="64">
        <v>15879022</v>
      </c>
      <c r="M16" s="64">
        <v>13898032</v>
      </c>
      <c r="N16" s="64">
        <v>13934624</v>
      </c>
      <c r="O16" s="64">
        <v>14633696</v>
      </c>
      <c r="P16" s="64">
        <v>8713344</v>
      </c>
      <c r="Q16" s="64">
        <v>3988088</v>
      </c>
      <c r="R16" s="64">
        <v>6108810</v>
      </c>
      <c r="S16" s="64">
        <v>4579866</v>
      </c>
      <c r="T16" s="64">
        <v>4630798</v>
      </c>
      <c r="U16" s="64">
        <v>13783434</v>
      </c>
      <c r="V16" s="64">
        <v>14029250</v>
      </c>
      <c r="W16" s="64">
        <v>15096010</v>
      </c>
      <c r="X16" s="64">
        <v>15985252</v>
      </c>
      <c r="Y16" s="64">
        <v>14391398</v>
      </c>
      <c r="Z16" s="64">
        <v>11879566</v>
      </c>
      <c r="AA16" s="64">
        <v>2354620</v>
      </c>
      <c r="AB16" s="64">
        <v>469382</v>
      </c>
      <c r="AC16" s="64">
        <v>1408132</v>
      </c>
      <c r="AD16" s="64">
        <v>3994906.35</v>
      </c>
      <c r="AE16" s="64">
        <v>3355281</v>
      </c>
      <c r="AF16" s="64">
        <v>2571550</v>
      </c>
      <c r="AG16" s="64">
        <v>5545570</v>
      </c>
      <c r="AH16" s="64">
        <v>13176399.529999999</v>
      </c>
      <c r="AI16" s="64">
        <v>13353800</v>
      </c>
      <c r="AJ16" s="64">
        <v>15374000</v>
      </c>
      <c r="AK16" s="64">
        <v>14392600</v>
      </c>
    </row>
    <row r="17" spans="2:40" ht="16.350000000000001" customHeight="1">
      <c r="B17" s="40" t="s">
        <v>86</v>
      </c>
      <c r="C17" s="9" t="s">
        <v>110</v>
      </c>
      <c r="D17" s="39"/>
      <c r="E17" s="64">
        <v>918834481.98000002</v>
      </c>
      <c r="F17" s="64">
        <v>629318933.5</v>
      </c>
      <c r="G17" s="64">
        <v>468483341.69999999</v>
      </c>
      <c r="H17" s="64">
        <v>399871676.99000001</v>
      </c>
      <c r="I17" s="64">
        <v>350379204.37000006</v>
      </c>
      <c r="J17" s="64">
        <v>355775342.06999993</v>
      </c>
      <c r="K17" s="64">
        <v>379678149.1500001</v>
      </c>
      <c r="L17" s="64">
        <v>359093242.87</v>
      </c>
      <c r="M17" s="64">
        <v>329878552.95999998</v>
      </c>
      <c r="N17" s="64">
        <v>384081294.06</v>
      </c>
      <c r="O17" s="64">
        <v>497647371.21999997</v>
      </c>
      <c r="P17" s="64">
        <v>758010023.17999995</v>
      </c>
      <c r="Q17" s="64">
        <v>747335179.60000002</v>
      </c>
      <c r="R17" s="64">
        <v>714317631.70000005</v>
      </c>
      <c r="S17" s="64">
        <v>533068544.53000003</v>
      </c>
      <c r="T17" s="64">
        <v>401384861.71000004</v>
      </c>
      <c r="U17" s="64">
        <v>371793423.20000005</v>
      </c>
      <c r="V17" s="64">
        <v>378527171.95700002</v>
      </c>
      <c r="W17" s="64">
        <v>421417413.36799997</v>
      </c>
      <c r="X17" s="64">
        <v>431909591.51799995</v>
      </c>
      <c r="Y17" s="64">
        <v>354784627.07099998</v>
      </c>
      <c r="Z17" s="64">
        <v>413590465.86999995</v>
      </c>
      <c r="AA17" s="64">
        <v>611469500.23899984</v>
      </c>
      <c r="AB17" s="64">
        <v>865081942.17299998</v>
      </c>
      <c r="AC17" s="64">
        <v>857721711.99199998</v>
      </c>
      <c r="AD17" s="64">
        <v>715319464.9740001</v>
      </c>
      <c r="AE17" s="64">
        <v>658525601.15400004</v>
      </c>
      <c r="AF17" s="64">
        <v>457043163.44999999</v>
      </c>
      <c r="AG17" s="64">
        <v>448742596.61500001</v>
      </c>
      <c r="AH17" s="64">
        <v>479600836.00599992</v>
      </c>
      <c r="AI17" s="64">
        <v>566633789.75699997</v>
      </c>
      <c r="AJ17" s="64">
        <v>527199626.12100005</v>
      </c>
      <c r="AK17" s="64">
        <v>432092395.33099991</v>
      </c>
    </row>
    <row r="18" spans="2:40" ht="16.350000000000001" customHeight="1">
      <c r="B18" s="40" t="s">
        <v>2</v>
      </c>
      <c r="C18" s="9" t="s">
        <v>110</v>
      </c>
      <c r="D18" s="39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</row>
    <row r="19" spans="2:40" ht="16.350000000000001" customHeight="1">
      <c r="B19" s="41" t="s">
        <v>108</v>
      </c>
      <c r="C19" s="9" t="s">
        <v>110</v>
      </c>
      <c r="D19" s="39"/>
      <c r="E19" s="66">
        <f>SUBTOTAL(9,E7:E17)</f>
        <v>1500240122.6635001</v>
      </c>
      <c r="F19" s="66">
        <f t="shared" ref="F19:AB19" si="2">SUBTOTAL(9,F7:F17)</f>
        <v>1111507961.3800001</v>
      </c>
      <c r="G19" s="66">
        <f t="shared" si="2"/>
        <v>996404539.70000005</v>
      </c>
      <c r="H19" s="66">
        <f t="shared" si="2"/>
        <v>1049805724.8</v>
      </c>
      <c r="I19" s="66">
        <f t="shared" si="2"/>
        <v>1141106912.74</v>
      </c>
      <c r="J19" s="66">
        <f>SUBTOTAL(9,J7:J17)</f>
        <v>1229114087.3199999</v>
      </c>
      <c r="K19" s="66">
        <f t="shared" si="2"/>
        <v>1311690712.3899999</v>
      </c>
      <c r="L19" s="66">
        <f t="shared" si="2"/>
        <v>1254987768.3800001</v>
      </c>
      <c r="M19" s="66">
        <f t="shared" si="2"/>
        <v>1092685444.7832</v>
      </c>
      <c r="N19" s="66">
        <f t="shared" si="2"/>
        <v>920531502.07439995</v>
      </c>
      <c r="O19" s="66">
        <f t="shared" si="2"/>
        <v>1064454229.8799999</v>
      </c>
      <c r="P19" s="66">
        <f t="shared" si="2"/>
        <v>1373179505.0799999</v>
      </c>
      <c r="Q19" s="66">
        <f t="shared" si="2"/>
        <v>1357269055.76</v>
      </c>
      <c r="R19" s="66">
        <f t="shared" si="2"/>
        <v>1298798924.9000001</v>
      </c>
      <c r="S19" s="66">
        <f t="shared" si="2"/>
        <v>1055569949.9335999</v>
      </c>
      <c r="T19" s="66">
        <f t="shared" si="2"/>
        <v>1010327477.97</v>
      </c>
      <c r="U19" s="66">
        <f t="shared" si="2"/>
        <v>1187606535.6855001</v>
      </c>
      <c r="V19" s="66">
        <f t="shared" si="2"/>
        <v>1299894505.9470901</v>
      </c>
      <c r="W19" s="66">
        <f t="shared" si="2"/>
        <v>1442392446.881</v>
      </c>
      <c r="X19" s="66">
        <f t="shared" si="2"/>
        <v>1439922210.3976002</v>
      </c>
      <c r="Y19" s="66">
        <f t="shared" si="2"/>
        <v>1157051593.8738999</v>
      </c>
      <c r="Z19" s="66">
        <f t="shared" si="2"/>
        <v>1052553762.5759997</v>
      </c>
      <c r="AA19" s="66">
        <f t="shared" si="2"/>
        <v>1253218792.0056999</v>
      </c>
      <c r="AB19" s="66">
        <f t="shared" si="2"/>
        <v>1564393916.2158999</v>
      </c>
      <c r="AC19" s="66">
        <f>SUBTOTAL(9,AC7:AC17)</f>
        <v>1570221219.7543001</v>
      </c>
      <c r="AD19" s="66">
        <f t="shared" ref="AD19:AK19" si="3">SUBTOTAL(9,AD7:AD17)</f>
        <v>1364218355.5050001</v>
      </c>
      <c r="AE19" s="66">
        <f t="shared" si="3"/>
        <v>1340880119.2324197</v>
      </c>
      <c r="AF19" s="66">
        <f t="shared" si="3"/>
        <v>1191019106.4925001</v>
      </c>
      <c r="AG19" s="66">
        <f t="shared" si="3"/>
        <v>1417832060.0138998</v>
      </c>
      <c r="AH19" s="66">
        <f t="shared" si="3"/>
        <v>1492383064.3659</v>
      </c>
      <c r="AI19" s="66">
        <f t="shared" si="3"/>
        <v>1663682544.9133</v>
      </c>
      <c r="AJ19" s="66">
        <f t="shared" si="3"/>
        <v>1567375644.6059999</v>
      </c>
      <c r="AK19" s="66">
        <f t="shared" si="3"/>
        <v>1299248665.2988999</v>
      </c>
    </row>
    <row r="20" spans="2:40" ht="16.350000000000001" customHeight="1">
      <c r="B20" s="11"/>
      <c r="C20" s="9"/>
      <c r="D20" s="9"/>
    </row>
    <row r="21" spans="2:40">
      <c r="AF21" s="130"/>
      <c r="AG21" s="130"/>
      <c r="AH21" s="130"/>
    </row>
    <row r="26" spans="2:40">
      <c r="AL26" s="135"/>
      <c r="AM26" s="135"/>
      <c r="AN26" s="135"/>
    </row>
    <row r="27" spans="2:40">
      <c r="AL27" s="135"/>
      <c r="AM27" s="135"/>
      <c r="AN27" s="135"/>
    </row>
    <row r="28" spans="2:40">
      <c r="AL28" s="135"/>
      <c r="AM28" s="135"/>
      <c r="AN28" s="135"/>
    </row>
    <row r="29" spans="2:40">
      <c r="AL29" s="135"/>
      <c r="AM29" s="135"/>
      <c r="AN29" s="135"/>
    </row>
    <row r="30" spans="2:40">
      <c r="AL30" s="135"/>
      <c r="AM30" s="135"/>
      <c r="AN30" s="135"/>
    </row>
    <row r="31" spans="2:40">
      <c r="AL31" s="136"/>
      <c r="AM31" s="136"/>
      <c r="AN31" s="136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</sheetPr>
  <dimension ref="A1:AC165"/>
  <sheetViews>
    <sheetView zoomScale="85" zoomScaleNormal="85" workbookViewId="0">
      <selection activeCell="F113" sqref="F113"/>
    </sheetView>
  </sheetViews>
  <sheetFormatPr defaultColWidth="8" defaultRowHeight="12.75"/>
  <cols>
    <col min="1" max="1" width="8" style="27"/>
    <col min="2" max="2" width="41.86328125" style="24" customWidth="1"/>
    <col min="3" max="3" width="9.3984375" style="24" customWidth="1"/>
    <col min="4" max="4" width="7.73046875" style="24" customWidth="1"/>
    <col min="5" max="5" width="11.265625" style="27" bestFit="1" customWidth="1"/>
    <col min="6" max="6" width="10.86328125" style="27" customWidth="1"/>
    <col min="7" max="16384" width="8" style="27"/>
  </cols>
  <sheetData>
    <row r="1" spans="1:29" s="26" customFormat="1" ht="15.75" customHeight="1" thickBot="1">
      <c r="A1" s="25" t="s">
        <v>4</v>
      </c>
      <c r="B1" s="20"/>
      <c r="C1" s="20" t="s">
        <v>20</v>
      </c>
      <c r="D1" s="20" t="s">
        <v>21</v>
      </c>
      <c r="E1" s="21">
        <v>2023</v>
      </c>
      <c r="F1" s="22">
        <v>2024</v>
      </c>
    </row>
    <row r="2" spans="1:29" s="7" customFormat="1" ht="16.350000000000001" customHeight="1">
      <c r="B2" s="44" t="s">
        <v>111</v>
      </c>
      <c r="C2" s="9" t="s">
        <v>110</v>
      </c>
      <c r="D2" s="37"/>
      <c r="E2" s="64">
        <f>SUM('[12] Физический_ежемесячный'!E7:P7)</f>
        <v>2759753292.7666993</v>
      </c>
      <c r="F2" s="64">
        <f>SUM('[12] Физический_ежемесячный'!Q7:AB7)</f>
        <v>3256957526.3828001</v>
      </c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5"/>
    </row>
    <row r="3" spans="1:29" s="7" customFormat="1" ht="16.350000000000001" customHeight="1">
      <c r="B3" s="40" t="s">
        <v>112</v>
      </c>
      <c r="C3" s="9" t="s">
        <v>110</v>
      </c>
      <c r="D3" s="39"/>
      <c r="E3" s="64">
        <f>SUM('[12] Физический_ежемесячный'!E8:P8)</f>
        <v>9897669.0399999991</v>
      </c>
      <c r="F3" s="64">
        <f>SUM('[12] Физический_ежемесячный'!Q8:AB8)</f>
        <v>8899757.166489996</v>
      </c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5"/>
    </row>
    <row r="4" spans="1:29" s="7" customFormat="1" ht="16.350000000000001" customHeight="1">
      <c r="B4" s="40" t="s">
        <v>113</v>
      </c>
      <c r="C4" s="9" t="s">
        <v>110</v>
      </c>
      <c r="D4" s="39"/>
      <c r="E4" s="64">
        <f>SUM('[12] Физический_ежемесячный'!E9:P9)</f>
        <v>20008757.502399996</v>
      </c>
      <c r="F4" s="64">
        <f>SUM('[12] Физический_ежемесячный'!Q9:AB9)</f>
        <v>18179232.949999999</v>
      </c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5"/>
    </row>
    <row r="5" spans="1:29" s="7" customFormat="1" ht="16.350000000000001" customHeight="1">
      <c r="B5" s="40" t="s">
        <v>114</v>
      </c>
      <c r="C5" s="9" t="s">
        <v>110</v>
      </c>
      <c r="D5" s="39"/>
      <c r="E5" s="64">
        <f>SUM('[12] Физический_ежемесячный'!E10:P10)</f>
        <v>606678919.37199998</v>
      </c>
      <c r="F5" s="64">
        <f>SUM('[12] Физический_ежемесячный'!Q10:AB10)</f>
        <v>635743772.2420001</v>
      </c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5"/>
    </row>
    <row r="6" spans="1:29" s="7" customFormat="1" ht="16.350000000000001" customHeight="1">
      <c r="B6" s="40" t="s">
        <v>85</v>
      </c>
      <c r="C6" s="9" t="s">
        <v>110</v>
      </c>
      <c r="D6" s="39"/>
      <c r="E6" s="64">
        <f>SUM('[12] Физический_ежемесячный'!E11:P11)</f>
        <v>2081298157.1999996</v>
      </c>
      <c r="F6" s="64">
        <f>SUM('[12] Физический_ежемесячный'!Q11:AB11)</f>
        <v>1652931329.9400001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5"/>
    </row>
    <row r="7" spans="1:29" s="7" customFormat="1" ht="16.350000000000001" customHeight="1">
      <c r="B7" s="40" t="s">
        <v>115</v>
      </c>
      <c r="C7" s="9" t="s">
        <v>110</v>
      </c>
      <c r="D7" s="39"/>
      <c r="E7" s="64">
        <f>SUM('[12] Физический_ежемесячный'!E12:P12)</f>
        <v>648622898.63000011</v>
      </c>
      <c r="F7" s="64">
        <f>SUM('[12] Физический_ежемесячный'!Q12:AB12)</f>
        <v>665916167.74900007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5"/>
    </row>
    <row r="8" spans="1:29" s="7" customFormat="1" ht="16.350000000000001" customHeight="1">
      <c r="B8" s="40" t="s">
        <v>116</v>
      </c>
      <c r="C8" s="9" t="s">
        <v>110</v>
      </c>
      <c r="D8" s="39"/>
      <c r="E8" s="64">
        <f>SUM('[12] Физический_ежемесячный'!E13:P13)</f>
        <v>229558141</v>
      </c>
      <c r="F8" s="64">
        <f>SUM('[12] Физический_ежемесячный'!Q13:AB13)</f>
        <v>469285297.22000003</v>
      </c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5"/>
    </row>
    <row r="9" spans="1:29" s="7" customFormat="1" ht="16.350000000000001" customHeight="1">
      <c r="B9" s="40" t="s">
        <v>117</v>
      </c>
      <c r="C9" s="9" t="s">
        <v>110</v>
      </c>
      <c r="D9" s="39"/>
      <c r="E9" s="64">
        <f>SUM('[12] Физический_ежемесячный'!E14:P14)</f>
        <v>1731908573.6299999</v>
      </c>
      <c r="F9" s="64">
        <f>SUM('[12] Физический_ежемесячный'!Q14:AB14)</f>
        <v>2037759758.46</v>
      </c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5"/>
    </row>
    <row r="10" spans="1:29" s="7" customFormat="1" ht="16.350000000000001" customHeight="1">
      <c r="B10" s="40" t="s">
        <v>118</v>
      </c>
      <c r="C10" s="9" t="s">
        <v>110</v>
      </c>
      <c r="D10" s="39"/>
      <c r="E10" s="64">
        <f>SUM('[12] Физический_ежемесячный'!E15:P15)</f>
        <v>9797192</v>
      </c>
      <c r="F10" s="64">
        <f>SUM('[12] Физический_ежемесячный'!Q15:AB15)</f>
        <v>21349503.100000001</v>
      </c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5"/>
    </row>
    <row r="11" spans="1:29" s="7" customFormat="1" ht="16.350000000000001" customHeight="1">
      <c r="B11" s="40" t="s">
        <v>101</v>
      </c>
      <c r="C11" s="9" t="s">
        <v>110</v>
      </c>
      <c r="D11" s="39"/>
      <c r="E11" s="64">
        <f>SUM('[12] Физический_ежемесячный'!E16:P16)</f>
        <v>117133296</v>
      </c>
      <c r="F11" s="64">
        <f>SUM('[12] Физический_ежемесячный'!Q16:AB16)</f>
        <v>107296474</v>
      </c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5"/>
    </row>
    <row r="12" spans="1:29" s="7" customFormat="1" ht="16.350000000000001" customHeight="1">
      <c r="B12" s="40" t="s">
        <v>86</v>
      </c>
      <c r="C12" s="9" t="s">
        <v>110</v>
      </c>
      <c r="D12" s="39"/>
      <c r="E12" s="64">
        <f>SUM('[12] Физический_ежемесячный'!E17:P17)</f>
        <v>5831051614.0500002</v>
      </c>
      <c r="F12" s="64">
        <f>SUM('[12] Физический_ежемесячный'!Q17:AB17)</f>
        <v>6244680352.9359989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5"/>
    </row>
    <row r="13" spans="1:29" s="7" customFormat="1" ht="16.350000000000001" customHeight="1">
      <c r="B13" s="40" t="s">
        <v>2</v>
      </c>
      <c r="C13" s="9" t="s">
        <v>110</v>
      </c>
      <c r="D13" s="39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5"/>
    </row>
    <row r="14" spans="1:29" s="7" customFormat="1" ht="16.350000000000001" customHeight="1">
      <c r="B14" s="41" t="s">
        <v>108</v>
      </c>
      <c r="C14" s="9" t="s">
        <v>110</v>
      </c>
      <c r="D14" s="39"/>
      <c r="E14" s="66">
        <f>SUBTOTAL(9,E2:E12)</f>
        <v>14045708511.191099</v>
      </c>
      <c r="F14" s="66">
        <f t="shared" ref="F14" si="0">SUBTOTAL(9,F2:F12)</f>
        <v>15118999172.14629</v>
      </c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5"/>
    </row>
    <row r="15" spans="1:29" ht="16.350000000000001" customHeight="1">
      <c r="B15" s="30"/>
      <c r="C15" s="28"/>
      <c r="D15" s="28"/>
      <c r="E15" s="31"/>
      <c r="F15" s="31"/>
      <c r="G15" s="31"/>
      <c r="H15" s="31"/>
      <c r="I15" s="31"/>
      <c r="J15" s="31"/>
      <c r="K15" s="31"/>
      <c r="L15" s="31"/>
      <c r="M15" s="31"/>
    </row>
    <row r="16" spans="1:29" s="26" customFormat="1" ht="15.75" customHeight="1" thickBot="1">
      <c r="A16" s="25" t="s">
        <v>92</v>
      </c>
      <c r="B16" s="20"/>
      <c r="C16" s="20" t="s">
        <v>20</v>
      </c>
      <c r="D16" s="20" t="s">
        <v>21</v>
      </c>
      <c r="E16" s="21">
        <v>2023</v>
      </c>
      <c r="F16" s="22">
        <v>2024</v>
      </c>
    </row>
    <row r="17" spans="1:29" s="7" customFormat="1" ht="16.350000000000001" customHeight="1">
      <c r="B17" s="44" t="s">
        <v>111</v>
      </c>
      <c r="C17" s="9" t="s">
        <v>120</v>
      </c>
      <c r="D17" s="37"/>
      <c r="E17" s="71">
        <f t="shared" ref="E17:F27" si="1">E39/E2</f>
        <v>0.68680993362924192</v>
      </c>
      <c r="F17" s="71">
        <f t="shared" si="1"/>
        <v>0.79171530171872595</v>
      </c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5"/>
    </row>
    <row r="18" spans="1:29" s="7" customFormat="1" ht="16.350000000000001" customHeight="1">
      <c r="B18" s="40" t="s">
        <v>112</v>
      </c>
      <c r="C18" s="9" t="s">
        <v>120</v>
      </c>
      <c r="D18" s="39"/>
      <c r="E18" s="71">
        <f t="shared" si="1"/>
        <v>0.51130500186940986</v>
      </c>
      <c r="F18" s="71">
        <f t="shared" si="1"/>
        <v>0.55603055292706016</v>
      </c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5"/>
    </row>
    <row r="19" spans="1:29" s="7" customFormat="1" ht="16.350000000000001" customHeight="1">
      <c r="B19" s="40" t="s">
        <v>113</v>
      </c>
      <c r="C19" s="9" t="s">
        <v>120</v>
      </c>
      <c r="D19" s="39"/>
      <c r="E19" s="71">
        <f t="shared" si="1"/>
        <v>0.52657583968775767</v>
      </c>
      <c r="F19" s="71">
        <f t="shared" si="1"/>
        <v>0.59056244403381186</v>
      </c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5"/>
    </row>
    <row r="20" spans="1:29" s="7" customFormat="1" ht="16.350000000000001" customHeight="1">
      <c r="B20" s="40" t="s">
        <v>114</v>
      </c>
      <c r="C20" s="9" t="s">
        <v>120</v>
      </c>
      <c r="D20" s="39"/>
      <c r="E20" s="71">
        <f t="shared" si="1"/>
        <v>0.3059327764839907</v>
      </c>
      <c r="F20" s="71">
        <f t="shared" si="1"/>
        <v>0.35265646986327392</v>
      </c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5"/>
    </row>
    <row r="21" spans="1:29" s="7" customFormat="1" ht="16.350000000000001" customHeight="1">
      <c r="B21" s="40" t="s">
        <v>85</v>
      </c>
      <c r="C21" s="9" t="s">
        <v>120</v>
      </c>
      <c r="D21" s="39"/>
      <c r="E21" s="71">
        <f t="shared" si="1"/>
        <v>0.1033422419182739</v>
      </c>
      <c r="F21" s="71">
        <f t="shared" si="1"/>
        <v>0.12012794778462917</v>
      </c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5"/>
    </row>
    <row r="22" spans="1:29" s="7" customFormat="1" ht="16.350000000000001" customHeight="1">
      <c r="B22" s="40" t="s">
        <v>115</v>
      </c>
      <c r="C22" s="9" t="s">
        <v>120</v>
      </c>
      <c r="D22" s="39"/>
      <c r="E22" s="71">
        <f t="shared" si="1"/>
        <v>0.12553683522956938</v>
      </c>
      <c r="F22" s="71">
        <f t="shared" si="1"/>
        <v>0.14723233844663655</v>
      </c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5"/>
    </row>
    <row r="23" spans="1:29" s="7" customFormat="1" ht="16.350000000000001" customHeight="1">
      <c r="B23" s="40" t="s">
        <v>116</v>
      </c>
      <c r="C23" s="9" t="s">
        <v>120</v>
      </c>
      <c r="D23" s="39"/>
      <c r="E23" s="71">
        <f t="shared" si="1"/>
        <v>8.9137589570391237E-2</v>
      </c>
      <c r="F23" s="71">
        <f t="shared" si="1"/>
        <v>0.10717530820451303</v>
      </c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5"/>
    </row>
    <row r="24" spans="1:29" s="7" customFormat="1" ht="16.350000000000001" customHeight="1">
      <c r="B24" s="40" t="s">
        <v>117</v>
      </c>
      <c r="C24" s="9" t="s">
        <v>120</v>
      </c>
      <c r="D24" s="39"/>
      <c r="E24" s="71">
        <f t="shared" si="1"/>
        <v>0.16183622038577622</v>
      </c>
      <c r="F24" s="71">
        <f t="shared" si="1"/>
        <v>0.18099810115811546</v>
      </c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5"/>
    </row>
    <row r="25" spans="1:29" s="7" customFormat="1" ht="16.350000000000001" customHeight="1">
      <c r="B25" s="40" t="s">
        <v>118</v>
      </c>
      <c r="C25" s="9" t="s">
        <v>120</v>
      </c>
      <c r="D25" s="39"/>
      <c r="E25" s="71">
        <f t="shared" si="1"/>
        <v>0.22160406977836097</v>
      </c>
      <c r="F25" s="71">
        <f t="shared" si="1"/>
        <v>0.17010004462352099</v>
      </c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5"/>
    </row>
    <row r="26" spans="1:29" s="7" customFormat="1" ht="16.350000000000001" customHeight="1">
      <c r="B26" s="40" t="s">
        <v>101</v>
      </c>
      <c r="C26" s="9" t="s">
        <v>120</v>
      </c>
      <c r="D26" s="39"/>
      <c r="E26" s="71">
        <f t="shared" si="1"/>
        <v>0.46015642538651019</v>
      </c>
      <c r="F26" s="71">
        <f t="shared" si="1"/>
        <v>0.52314699464327219</v>
      </c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5"/>
    </row>
    <row r="27" spans="1:29" s="7" customFormat="1" ht="16.350000000000001" customHeight="1">
      <c r="B27" s="40" t="s">
        <v>86</v>
      </c>
      <c r="C27" s="9" t="s">
        <v>120</v>
      </c>
      <c r="D27" s="39"/>
      <c r="E27" s="71">
        <f t="shared" si="1"/>
        <v>0.26593023899975121</v>
      </c>
      <c r="F27" s="71">
        <f t="shared" si="1"/>
        <v>0.30935559378305288</v>
      </c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5"/>
    </row>
    <row r="28" spans="1:29" s="7" customFormat="1" ht="16.350000000000001" customHeight="1">
      <c r="B28" s="40" t="s">
        <v>2</v>
      </c>
      <c r="C28" s="9" t="s">
        <v>120</v>
      </c>
      <c r="D28" s="39"/>
      <c r="E28" s="71"/>
      <c r="F28" s="71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5"/>
    </row>
    <row r="29" spans="1:29" s="7" customFormat="1" ht="16.350000000000001" customHeight="1">
      <c r="B29" s="41" t="s">
        <v>108</v>
      </c>
      <c r="C29" s="9" t="s">
        <v>120</v>
      </c>
      <c r="D29" s="39"/>
      <c r="E29" s="73">
        <f>E51/E14</f>
        <v>0.3061867161023662</v>
      </c>
      <c r="F29" s="73">
        <f>F51/F14</f>
        <v>0.36548656267626667</v>
      </c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5"/>
    </row>
    <row r="30" spans="1:29" ht="16.350000000000001" customHeight="1">
      <c r="B30" s="30"/>
      <c r="C30" s="28"/>
      <c r="D30" s="28"/>
      <c r="E30" s="31"/>
      <c r="F30" s="31"/>
      <c r="G30" s="31"/>
      <c r="H30" s="31"/>
      <c r="I30" s="31"/>
      <c r="J30" s="31"/>
      <c r="K30" s="31"/>
      <c r="L30" s="31"/>
      <c r="M30" s="31"/>
    </row>
    <row r="31" spans="1:29" s="26" customFormat="1" ht="15.75" customHeight="1" thickBot="1">
      <c r="A31" s="25" t="s">
        <v>87</v>
      </c>
      <c r="B31" s="20"/>
      <c r="C31" s="20" t="s">
        <v>20</v>
      </c>
      <c r="D31" s="20" t="s">
        <v>21</v>
      </c>
      <c r="E31" s="21">
        <v>2023</v>
      </c>
      <c r="F31" s="22">
        <v>2024</v>
      </c>
    </row>
    <row r="32" spans="1:29" s="7" customFormat="1" ht="16.350000000000001" customHeight="1">
      <c r="B32" s="44" t="s">
        <v>150</v>
      </c>
      <c r="C32" s="9" t="s">
        <v>152</v>
      </c>
      <c r="D32" s="37"/>
      <c r="E32" s="55">
        <v>80656</v>
      </c>
      <c r="F32" s="55">
        <v>85259</v>
      </c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5"/>
    </row>
    <row r="33" spans="1:29" s="7" customFormat="1" ht="16.350000000000001" customHeight="1">
      <c r="B33" s="40" t="s">
        <v>143</v>
      </c>
      <c r="C33" s="9" t="s">
        <v>152</v>
      </c>
      <c r="D33" s="39"/>
      <c r="E33" s="55">
        <v>16236</v>
      </c>
      <c r="F33" s="55">
        <v>16754</v>
      </c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5"/>
    </row>
    <row r="34" spans="1:29" s="7" customFormat="1" ht="16.350000000000001" customHeight="1">
      <c r="B34" s="40" t="s">
        <v>85</v>
      </c>
      <c r="C34" s="9" t="s">
        <v>152</v>
      </c>
      <c r="D34" s="39"/>
      <c r="E34" s="55">
        <v>11610</v>
      </c>
      <c r="F34" s="55">
        <v>12901</v>
      </c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5"/>
    </row>
    <row r="35" spans="1:29" s="7" customFormat="1" ht="16.350000000000001" customHeight="1">
      <c r="B35" s="40" t="s">
        <v>151</v>
      </c>
      <c r="C35" s="9" t="s">
        <v>152</v>
      </c>
      <c r="D35" s="39"/>
      <c r="E35" s="55">
        <v>1765133</v>
      </c>
      <c r="F35" s="55">
        <v>1866987</v>
      </c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5"/>
    </row>
    <row r="36" spans="1:29" s="7" customFormat="1" ht="16.350000000000001" customHeight="1">
      <c r="B36" s="41" t="s">
        <v>108</v>
      </c>
      <c r="C36" s="76" t="s">
        <v>152</v>
      </c>
      <c r="D36" s="39"/>
      <c r="E36" s="56">
        <f>SUBTOTAL(9,E32:E35)</f>
        <v>1873635</v>
      </c>
      <c r="F36" s="56">
        <f t="shared" ref="F36" si="2">SUBTOTAL(9,F32:F35)</f>
        <v>1981901</v>
      </c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5"/>
    </row>
    <row r="37" spans="1:29" ht="16.350000000000001" customHeight="1">
      <c r="B37" s="30"/>
      <c r="C37" s="28"/>
      <c r="D37" s="28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29" s="26" customFormat="1" ht="15.75" customHeight="1" thickBot="1">
      <c r="A38" s="25" t="s">
        <v>89</v>
      </c>
      <c r="B38" s="20"/>
      <c r="C38" s="20" t="s">
        <v>20</v>
      </c>
      <c r="D38" s="20" t="s">
        <v>21</v>
      </c>
      <c r="E38" s="21">
        <v>2023</v>
      </c>
      <c r="F38" s="22">
        <v>2024</v>
      </c>
    </row>
    <row r="39" spans="1:29" s="7" customFormat="1" ht="16.350000000000001" customHeight="1">
      <c r="B39" s="44" t="s">
        <v>111</v>
      </c>
      <c r="C39" s="9" t="s">
        <v>110</v>
      </c>
      <c r="D39" s="37"/>
      <c r="E39" s="64">
        <f>SUM('[13] Коммерческий_ежемесячно'!E42:P42)</f>
        <v>1895425975.8381786</v>
      </c>
      <c r="F39" s="64">
        <f>SUM('[13] Коммерческий_ежемесячно'!Q42:AB42)</f>
        <v>2578583110.6852341</v>
      </c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5"/>
    </row>
    <row r="40" spans="1:29" s="7" customFormat="1" ht="16.350000000000001" customHeight="1">
      <c r="B40" s="40" t="s">
        <v>112</v>
      </c>
      <c r="C40" s="9" t="s">
        <v>110</v>
      </c>
      <c r="D40" s="39"/>
      <c r="E40" s="64">
        <f>SUM('[13] Коммерческий_ежемесячно'!E43:P43)</f>
        <v>5060727.6869999999</v>
      </c>
      <c r="F40" s="64">
        <f>SUM('[13] Коммерческий_ежемесячно'!Q43:AB43)</f>
        <v>4948536.8981999988</v>
      </c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5"/>
    </row>
    <row r="41" spans="1:29" s="7" customFormat="1" ht="16.350000000000001" customHeight="1">
      <c r="B41" s="40" t="s">
        <v>113</v>
      </c>
      <c r="C41" s="9" t="s">
        <v>110</v>
      </c>
      <c r="D41" s="39"/>
      <c r="E41" s="64">
        <f>SUM('[13] Коммерческий_ежемесячно'!E44:P44)</f>
        <v>10536128.282934999</v>
      </c>
      <c r="F41" s="64">
        <f>SUM('[13] Коммерческий_ежемесячно'!Q44:AB44)</f>
        <v>10735972.241612002</v>
      </c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5"/>
    </row>
    <row r="42" spans="1:29" s="7" customFormat="1" ht="16.350000000000001" customHeight="1">
      <c r="B42" s="40" t="s">
        <v>114</v>
      </c>
      <c r="C42" s="9" t="s">
        <v>110</v>
      </c>
      <c r="D42" s="39"/>
      <c r="E42" s="64">
        <f>SUM('[13] Коммерческий_ежемесячно'!E45:P45)</f>
        <v>185602966.23778307</v>
      </c>
      <c r="F42" s="64">
        <f>SUM('[13] Коммерческий_ежемесячно'!Q45:AB45)</f>
        <v>224199154.45642498</v>
      </c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5"/>
    </row>
    <row r="43" spans="1:29" s="7" customFormat="1" ht="16.350000000000001" customHeight="1">
      <c r="B43" s="40" t="s">
        <v>85</v>
      </c>
      <c r="C43" s="9" t="s">
        <v>110</v>
      </c>
      <c r="D43" s="39"/>
      <c r="E43" s="64">
        <f>SUM('[13] Коммерческий_ежемесячно'!E46:P46)</f>
        <v>215086017.66542003</v>
      </c>
      <c r="F43" s="64">
        <f>SUM('[13] Коммерческий_ежемесячно'!Q46:AB46)</f>
        <v>198563248.49460998</v>
      </c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5"/>
    </row>
    <row r="44" spans="1:29" s="7" customFormat="1" ht="16.350000000000001" customHeight="1">
      <c r="B44" s="40" t="s">
        <v>115</v>
      </c>
      <c r="C44" s="9" t="s">
        <v>110</v>
      </c>
      <c r="D44" s="39"/>
      <c r="E44" s="64">
        <f>SUM('[13] Коммерческий_ежемесячно'!E47:P47)</f>
        <v>81426065.951440006</v>
      </c>
      <c r="F44" s="64">
        <f>SUM('[13] Коммерческий_ежемесячно'!Q47:AB47)</f>
        <v>98044394.587107986</v>
      </c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5"/>
    </row>
    <row r="45" spans="1:29" s="7" customFormat="1" ht="16.350000000000001" customHeight="1">
      <c r="B45" s="40" t="s">
        <v>116</v>
      </c>
      <c r="C45" s="9" t="s">
        <v>110</v>
      </c>
      <c r="D45" s="39"/>
      <c r="E45" s="64">
        <f>SUM('[13] Коммерческий_ежемесячно'!E48:P48)</f>
        <v>20462259.355</v>
      </c>
      <c r="F45" s="64">
        <f>SUM('[13] Коммерческий_ежемесячно'!Q48:AB48)</f>
        <v>50295796.365400001</v>
      </c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5"/>
    </row>
    <row r="46" spans="1:29" s="7" customFormat="1" ht="16.350000000000001" customHeight="1">
      <c r="B46" s="40" t="s">
        <v>117</v>
      </c>
      <c r="C46" s="9" t="s">
        <v>110</v>
      </c>
      <c r="D46" s="39"/>
      <c r="E46" s="64">
        <f>SUM('[13] Коммерческий_ежемесячно'!E49:P49)</f>
        <v>280285537.61000001</v>
      </c>
      <c r="F46" s="64">
        <f>SUM('[13] Коммерческий_ежемесячно'!Q49:AB49)</f>
        <v>368830646.89767998</v>
      </c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5"/>
    </row>
    <row r="47" spans="1:29" s="7" customFormat="1" ht="16.350000000000001" customHeight="1">
      <c r="B47" s="40" t="s">
        <v>118</v>
      </c>
      <c r="C47" s="9" t="s">
        <v>110</v>
      </c>
      <c r="D47" s="39"/>
      <c r="E47" s="64">
        <f>SUM('[13] Коммерческий_ежемесячно'!E50:P50)</f>
        <v>2171097.6195999999</v>
      </c>
      <c r="F47" s="64">
        <f>SUM('[13] Коммерческий_ежемесячно'!Q50:AB50)</f>
        <v>3631551.4299999997</v>
      </c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5"/>
    </row>
    <row r="48" spans="1:29" s="7" customFormat="1" ht="16.350000000000001" customHeight="1">
      <c r="B48" s="40" t="s">
        <v>101</v>
      </c>
      <c r="C48" s="9" t="s">
        <v>110</v>
      </c>
      <c r="D48" s="39"/>
      <c r="E48" s="64">
        <f>SUM('[13] Коммерческий_ежемесячно'!E51:P51)</f>
        <v>53899638.781100012</v>
      </c>
      <c r="F48" s="64">
        <f>SUM('[13] Коммерческий_ежемесячно'!Q51:AB51)</f>
        <v>56131827.908919998</v>
      </c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5"/>
    </row>
    <row r="49" spans="1:29" s="7" customFormat="1" ht="16.350000000000001" customHeight="1">
      <c r="B49" s="40" t="s">
        <v>86</v>
      </c>
      <c r="C49" s="9" t="s">
        <v>110</v>
      </c>
      <c r="D49" s="39"/>
      <c r="E49" s="64">
        <f>SUM('[13] Коммерческий_ежемесячно'!E52:P52)</f>
        <v>1550652949.3442016</v>
      </c>
      <c r="F49" s="64">
        <f>SUM('[13] Коммерческий_ежемесячно'!Q52:AB52)</f>
        <v>1931826798.5678802</v>
      </c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5"/>
    </row>
    <row r="50" spans="1:29" s="7" customFormat="1" ht="16.350000000000001" customHeight="1">
      <c r="B50" s="40" t="s">
        <v>2</v>
      </c>
      <c r="C50" s="9" t="s">
        <v>110</v>
      </c>
      <c r="D50" s="39"/>
      <c r="E50" s="64">
        <f>SUM('[13] Коммерческий_ежемесячно'!E53:P53)</f>
        <v>0</v>
      </c>
      <c r="F50" s="64">
        <f>SUM('[13] Коммерческий_ежемесячно'!Q53:AB53)</f>
        <v>0</v>
      </c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5"/>
    </row>
    <row r="51" spans="1:29" s="7" customFormat="1" ht="16.350000000000001" customHeight="1">
      <c r="B51" s="41" t="s">
        <v>108</v>
      </c>
      <c r="C51" s="9" t="s">
        <v>110</v>
      </c>
      <c r="D51" s="39"/>
      <c r="E51" s="66">
        <f>SUBTOTAL(9,E39:E49)</f>
        <v>4300609364.3726578</v>
      </c>
      <c r="F51" s="66">
        <f t="shared" ref="F51" si="3">SUBTOTAL(9,F39:F49)</f>
        <v>5525791038.5330687</v>
      </c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5"/>
    </row>
    <row r="52" spans="1:29" ht="16.350000000000001" customHeight="1">
      <c r="B52" s="32"/>
      <c r="C52" s="28"/>
      <c r="D52" s="28"/>
    </row>
    <row r="53" spans="1:29" s="26" customFormat="1" ht="15.75" customHeight="1" thickBot="1">
      <c r="A53" s="25" t="s">
        <v>97</v>
      </c>
      <c r="B53" s="20"/>
      <c r="C53" s="20" t="s">
        <v>20</v>
      </c>
      <c r="D53" s="20" t="s">
        <v>21</v>
      </c>
      <c r="E53" s="21">
        <v>2023</v>
      </c>
      <c r="F53" s="22">
        <v>2024</v>
      </c>
    </row>
    <row r="54" spans="1:29" s="7" customFormat="1" ht="16.350000000000001" customHeight="1">
      <c r="B54" s="44" t="s">
        <v>111</v>
      </c>
      <c r="C54" s="9" t="s">
        <v>110</v>
      </c>
      <c r="D54" s="37"/>
      <c r="E54" s="64">
        <f>SUM('[13] Коммерческий_ежемесячно'!E57:P57)</f>
        <v>1799359130.342</v>
      </c>
      <c r="F54" s="64">
        <f>SUM('[13] Коммерческий_ежемесячно'!Q57:AB57)</f>
        <v>2469191144.4134469</v>
      </c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5"/>
    </row>
    <row r="55" spans="1:29" s="7" customFormat="1" ht="16.350000000000001" customHeight="1">
      <c r="B55" s="40" t="s">
        <v>112</v>
      </c>
      <c r="C55" s="9" t="s">
        <v>110</v>
      </c>
      <c r="D55" s="39"/>
      <c r="E55" s="64">
        <f>SUM('[13] Коммерческий_ежемесячно'!E58:P58)</f>
        <v>2459777.4800000004</v>
      </c>
      <c r="F55" s="64">
        <f>SUM('[13] Коммерческий_ежемесячно'!Q58:AB58)</f>
        <v>3185995.5908400007</v>
      </c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5"/>
    </row>
    <row r="56" spans="1:29" s="7" customFormat="1" ht="16.350000000000001" customHeight="1">
      <c r="B56" s="40" t="s">
        <v>113</v>
      </c>
      <c r="C56" s="9" t="s">
        <v>110</v>
      </c>
      <c r="D56" s="39"/>
      <c r="E56" s="64">
        <f>SUM('[13] Коммерческий_ежемесячно'!E59:P59)</f>
        <v>8876541.75</v>
      </c>
      <c r="F56" s="64">
        <f>SUM('[13] Коммерческий_ежемесячно'!Q59:AB59)</f>
        <v>52434980.338999994</v>
      </c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5"/>
    </row>
    <row r="57" spans="1:29" s="7" customFormat="1" ht="16.350000000000001" customHeight="1">
      <c r="B57" s="40" t="s">
        <v>114</v>
      </c>
      <c r="C57" s="9" t="s">
        <v>110</v>
      </c>
      <c r="D57" s="39"/>
      <c r="E57" s="64">
        <f>SUM('[13] Коммерческий_ежемесячно'!E60:P60)</f>
        <v>190572980.91</v>
      </c>
      <c r="F57" s="64">
        <f>SUM('[13] Коммерческий_ежемесячно'!Q60:AB60)</f>
        <v>194828434.21000001</v>
      </c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5"/>
    </row>
    <row r="58" spans="1:29" s="7" customFormat="1" ht="16.350000000000001" customHeight="1">
      <c r="B58" s="40" t="s">
        <v>85</v>
      </c>
      <c r="C58" s="9" t="s">
        <v>110</v>
      </c>
      <c r="D58" s="39"/>
      <c r="E58" s="64">
        <f>SUM('[13] Коммерческий_ежемесячно'!E61:P61)</f>
        <v>427878884.53999996</v>
      </c>
      <c r="F58" s="64">
        <f>SUM('[13] Коммерческий_ежемесячно'!Q61:AB61)</f>
        <v>118204644.15000001</v>
      </c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5"/>
    </row>
    <row r="59" spans="1:29" s="7" customFormat="1" ht="16.350000000000001" customHeight="1">
      <c r="B59" s="40" t="s">
        <v>115</v>
      </c>
      <c r="C59" s="9" t="s">
        <v>110</v>
      </c>
      <c r="D59" s="39"/>
      <c r="E59" s="64">
        <f>SUM('[13] Коммерческий_ежемесячно'!E62:P62)</f>
        <v>33619186.240000002</v>
      </c>
      <c r="F59" s="64">
        <f>SUM('[13] Коммерческий_ежемесячно'!Q62:AB62)</f>
        <v>56153520.526000001</v>
      </c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5"/>
    </row>
    <row r="60" spans="1:29" s="7" customFormat="1" ht="16.350000000000001" customHeight="1">
      <c r="B60" s="40" t="s">
        <v>116</v>
      </c>
      <c r="C60" s="9" t="s">
        <v>110</v>
      </c>
      <c r="D60" s="39"/>
      <c r="E60" s="64">
        <f>SUM('[13] Коммерческий_ежемесячно'!E63:P63)</f>
        <v>142290560.55999994</v>
      </c>
      <c r="F60" s="64">
        <f>SUM('[13] Коммерческий_ежемесячно'!Q63:AB63)</f>
        <v>11293159.530000001</v>
      </c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5"/>
    </row>
    <row r="61" spans="1:29" s="7" customFormat="1" ht="16.350000000000001" customHeight="1">
      <c r="B61" s="40" t="s">
        <v>117</v>
      </c>
      <c r="C61" s="9" t="s">
        <v>110</v>
      </c>
      <c r="D61" s="39"/>
      <c r="E61" s="64">
        <f>SUM('[13] Коммерческий_ежемесячно'!E64:P64)</f>
        <v>65000000</v>
      </c>
      <c r="F61" s="64">
        <f>SUM('[13] Коммерческий_ежемесячно'!Q64:AB64)</f>
        <v>148500000</v>
      </c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5"/>
    </row>
    <row r="62" spans="1:29" s="7" customFormat="1" ht="16.350000000000001" customHeight="1">
      <c r="B62" s="40" t="s">
        <v>118</v>
      </c>
      <c r="C62" s="9" t="s">
        <v>110</v>
      </c>
      <c r="D62" s="39"/>
      <c r="E62" s="64">
        <f>SUM('[13] Коммерческий_ежемесячно'!E65:P65)</f>
        <v>1592085.37</v>
      </c>
      <c r="F62" s="64">
        <f>SUM('[13] Коммерческий_ежемесячно'!Q65:AB65)</f>
        <v>1087145.95</v>
      </c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5"/>
    </row>
    <row r="63" spans="1:29" s="7" customFormat="1" ht="16.350000000000001" customHeight="1">
      <c r="B63" s="40" t="s">
        <v>101</v>
      </c>
      <c r="C63" s="9" t="s">
        <v>110</v>
      </c>
      <c r="D63" s="39"/>
      <c r="E63" s="64">
        <f>SUM('[13] Коммерческий_ежемесячно'!E66:P66)</f>
        <v>22352640.18</v>
      </c>
      <c r="F63" s="64">
        <f>SUM('[13] Коммерческий_ежемесячно'!Q66:AB66)</f>
        <v>46700000</v>
      </c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5"/>
    </row>
    <row r="64" spans="1:29" s="7" customFormat="1" ht="16.350000000000001" customHeight="1">
      <c r="B64" s="40" t="s">
        <v>86</v>
      </c>
      <c r="C64" s="9" t="s">
        <v>110</v>
      </c>
      <c r="D64" s="39"/>
      <c r="E64" s="64">
        <f>SUM('[13] Коммерческий_ежемесячно'!E67:P67)</f>
        <v>1449156724.1199999</v>
      </c>
      <c r="F64" s="64">
        <f>SUM('[13] Коммерческий_ежемесячно'!Q67:AB67)</f>
        <v>1782266530.7714252</v>
      </c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5"/>
    </row>
    <row r="65" spans="1:29" s="7" customFormat="1" ht="16.350000000000001" customHeight="1">
      <c r="B65" s="40" t="s">
        <v>2</v>
      </c>
      <c r="C65" s="9" t="s">
        <v>110</v>
      </c>
      <c r="D65" s="39"/>
      <c r="E65" s="64">
        <f>SUM('[13] Коммерческий_ежемесячно'!E68:P68)</f>
        <v>0</v>
      </c>
      <c r="F65" s="64">
        <f>SUM('[13] Коммерческий_ежемесячно'!Q68:AB68)</f>
        <v>0</v>
      </c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5"/>
    </row>
    <row r="66" spans="1:29" ht="16.350000000000001" customHeight="1">
      <c r="B66" s="29" t="s">
        <v>3</v>
      </c>
      <c r="C66" s="28" t="s">
        <v>65</v>
      </c>
      <c r="D66" s="28"/>
      <c r="E66" s="70">
        <f>SUM(E54:E65)</f>
        <v>4143158511.4919996</v>
      </c>
      <c r="F66" s="70">
        <f>SUM(F54:F65)</f>
        <v>4883845555.4807129</v>
      </c>
    </row>
    <row r="67" spans="1:29" ht="16.350000000000001" customHeight="1">
      <c r="B67" s="32"/>
      <c r="C67" s="28"/>
      <c r="D67" s="28"/>
    </row>
    <row r="68" spans="1:29" s="26" customFormat="1" ht="15.75" customHeight="1" thickBot="1">
      <c r="A68" s="25" t="s">
        <v>5</v>
      </c>
      <c r="B68" s="20"/>
      <c r="C68" s="20" t="s">
        <v>20</v>
      </c>
      <c r="D68" s="20" t="s">
        <v>21</v>
      </c>
      <c r="E68" s="21">
        <v>2023</v>
      </c>
      <c r="F68" s="22">
        <v>2024</v>
      </c>
    </row>
    <row r="69" spans="1:29" s="7" customFormat="1" ht="16.350000000000001" customHeight="1">
      <c r="B69" s="44" t="s">
        <v>111</v>
      </c>
      <c r="C69" s="9" t="s">
        <v>110</v>
      </c>
      <c r="D69" s="37"/>
      <c r="E69" s="38">
        <f>E54/E39</f>
        <v>0.94931648783925904</v>
      </c>
      <c r="F69" s="38">
        <f>F54/F39</f>
        <v>0.9575767149724651</v>
      </c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5"/>
    </row>
    <row r="70" spans="1:29" s="7" customFormat="1" ht="16.350000000000001" customHeight="1">
      <c r="B70" s="40" t="s">
        <v>112</v>
      </c>
      <c r="C70" s="9" t="s">
        <v>110</v>
      </c>
      <c r="D70" s="39"/>
      <c r="E70" s="38">
        <f t="shared" ref="E70:F81" si="4">E55/E40</f>
        <v>0.48605213165661498</v>
      </c>
      <c r="F70" s="38">
        <f t="shared" si="4"/>
        <v>0.64382577242151873</v>
      </c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5"/>
    </row>
    <row r="71" spans="1:29" s="7" customFormat="1" ht="16.350000000000001" customHeight="1">
      <c r="B71" s="40" t="s">
        <v>113</v>
      </c>
      <c r="C71" s="9" t="s">
        <v>110</v>
      </c>
      <c r="D71" s="39"/>
      <c r="E71" s="38">
        <f t="shared" si="4"/>
        <v>0.8424861117510335</v>
      </c>
      <c r="F71" s="38">
        <f t="shared" si="4"/>
        <v>4.8840458189492209</v>
      </c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5"/>
    </row>
    <row r="72" spans="1:29" s="7" customFormat="1" ht="16.350000000000001" customHeight="1">
      <c r="B72" s="40" t="s">
        <v>114</v>
      </c>
      <c r="C72" s="9" t="s">
        <v>110</v>
      </c>
      <c r="D72" s="39"/>
      <c r="E72" s="38">
        <f t="shared" si="4"/>
        <v>1.0267776683366667</v>
      </c>
      <c r="F72" s="38">
        <f t="shared" si="4"/>
        <v>0.86899718548165439</v>
      </c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5"/>
    </row>
    <row r="73" spans="1:29" s="7" customFormat="1" ht="16.350000000000001" customHeight="1">
      <c r="B73" s="40" t="s">
        <v>85</v>
      </c>
      <c r="C73" s="9" t="s">
        <v>110</v>
      </c>
      <c r="D73" s="39"/>
      <c r="E73" s="38">
        <f t="shared" si="4"/>
        <v>1.9893384478650433</v>
      </c>
      <c r="F73" s="38">
        <f t="shared" si="4"/>
        <v>0.59529970951904865</v>
      </c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5"/>
    </row>
    <row r="74" spans="1:29" s="7" customFormat="1" ht="16.350000000000001" customHeight="1">
      <c r="B74" s="40" t="s">
        <v>115</v>
      </c>
      <c r="C74" s="9" t="s">
        <v>110</v>
      </c>
      <c r="D74" s="39"/>
      <c r="E74" s="38">
        <f t="shared" si="4"/>
        <v>0.41287990334752817</v>
      </c>
      <c r="F74" s="38">
        <f t="shared" si="4"/>
        <v>0.57273565472537191</v>
      </c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5"/>
    </row>
    <row r="75" spans="1:29" s="7" customFormat="1" ht="16.350000000000001" customHeight="1">
      <c r="B75" s="40" t="s">
        <v>116</v>
      </c>
      <c r="C75" s="9" t="s">
        <v>110</v>
      </c>
      <c r="D75" s="39"/>
      <c r="E75" s="38">
        <f t="shared" si="4"/>
        <v>6.953804958259945</v>
      </c>
      <c r="F75" s="38">
        <f t="shared" si="4"/>
        <v>0.2245348586978316</v>
      </c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5"/>
    </row>
    <row r="76" spans="1:29" s="7" customFormat="1" ht="16.350000000000001" customHeight="1">
      <c r="B76" s="40" t="s">
        <v>117</v>
      </c>
      <c r="C76" s="9" t="s">
        <v>110</v>
      </c>
      <c r="D76" s="39"/>
      <c r="E76" s="38">
        <f t="shared" si="4"/>
        <v>0.23190636432495307</v>
      </c>
      <c r="F76" s="38">
        <f t="shared" si="4"/>
        <v>0.40262380919011992</v>
      </c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5"/>
    </row>
    <row r="77" spans="1:29" s="7" customFormat="1" ht="16.350000000000001" customHeight="1">
      <c r="B77" s="40" t="s">
        <v>118</v>
      </c>
      <c r="C77" s="9" t="s">
        <v>110</v>
      </c>
      <c r="D77" s="39"/>
      <c r="E77" s="38">
        <f t="shared" si="4"/>
        <v>0.73330897497521264</v>
      </c>
      <c r="F77" s="38">
        <f t="shared" si="4"/>
        <v>0.29936129804445588</v>
      </c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5"/>
    </row>
    <row r="78" spans="1:29" s="7" customFormat="1" ht="16.350000000000001" customHeight="1">
      <c r="B78" s="40" t="s">
        <v>101</v>
      </c>
      <c r="C78" s="9" t="s">
        <v>110</v>
      </c>
      <c r="D78" s="39"/>
      <c r="E78" s="38">
        <f t="shared" si="4"/>
        <v>0.41470853396216056</v>
      </c>
      <c r="F78" s="38">
        <f t="shared" si="4"/>
        <v>0.83197005584382244</v>
      </c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5"/>
    </row>
    <row r="79" spans="1:29" s="7" customFormat="1" ht="16.350000000000001" customHeight="1">
      <c r="B79" s="40" t="s">
        <v>86</v>
      </c>
      <c r="C79" s="9" t="s">
        <v>110</v>
      </c>
      <c r="D79" s="39"/>
      <c r="E79" s="38">
        <f t="shared" si="4"/>
        <v>0.93454613731130087</v>
      </c>
      <c r="F79" s="38">
        <f t="shared" si="4"/>
        <v>0.92258091258112351</v>
      </c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5"/>
    </row>
    <row r="80" spans="1:29" s="7" customFormat="1" ht="16.350000000000001" customHeight="1">
      <c r="B80" s="40" t="s">
        <v>2</v>
      </c>
      <c r="C80" s="9" t="s">
        <v>110</v>
      </c>
      <c r="D80" s="39"/>
      <c r="E80" s="38"/>
      <c r="F80" s="38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5"/>
    </row>
    <row r="81" spans="1:29" ht="16.350000000000001" customHeight="1">
      <c r="B81" s="29" t="s">
        <v>3</v>
      </c>
      <c r="C81" s="28" t="s">
        <v>65</v>
      </c>
      <c r="D81" s="28"/>
      <c r="E81" s="72">
        <f t="shared" si="4"/>
        <v>0.96338871086850597</v>
      </c>
      <c r="F81" s="72">
        <f t="shared" si="4"/>
        <v>0.88382740523920122</v>
      </c>
    </row>
    <row r="82" spans="1:29" ht="16.350000000000001" customHeight="1">
      <c r="B82" s="32"/>
      <c r="C82" s="28"/>
      <c r="D82" s="28"/>
    </row>
    <row r="83" spans="1:29" s="26" customFormat="1" ht="15.75" customHeight="1" thickBot="1">
      <c r="A83" s="25" t="s">
        <v>90</v>
      </c>
      <c r="B83" s="20"/>
      <c r="C83" s="20" t="s">
        <v>20</v>
      </c>
      <c r="D83" s="20" t="s">
        <v>21</v>
      </c>
      <c r="E83" s="21">
        <v>2023</v>
      </c>
      <c r="F83" s="22">
        <v>2024</v>
      </c>
    </row>
    <row r="84" spans="1:29" s="7" customFormat="1" ht="16.350000000000001" customHeight="1">
      <c r="B84" s="44" t="s">
        <v>111</v>
      </c>
      <c r="C84" s="9" t="s">
        <v>110</v>
      </c>
      <c r="D84" s="37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5"/>
    </row>
    <row r="85" spans="1:29" s="7" customFormat="1" ht="16.350000000000001" customHeight="1">
      <c r="B85" s="40" t="s">
        <v>112</v>
      </c>
      <c r="C85" s="9" t="s">
        <v>110</v>
      </c>
      <c r="D85" s="39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5"/>
    </row>
    <row r="86" spans="1:29" s="7" customFormat="1" ht="16.350000000000001" customHeight="1">
      <c r="B86" s="40" t="s">
        <v>113</v>
      </c>
      <c r="C86" s="9" t="s">
        <v>110</v>
      </c>
      <c r="D86" s="39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5"/>
    </row>
    <row r="87" spans="1:29" s="7" customFormat="1" ht="16.350000000000001" customHeight="1">
      <c r="B87" s="40" t="s">
        <v>114</v>
      </c>
      <c r="C87" s="9" t="s">
        <v>110</v>
      </c>
      <c r="D87" s="39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5"/>
    </row>
    <row r="88" spans="1:29" s="7" customFormat="1" ht="16.350000000000001" customHeight="1">
      <c r="B88" s="40" t="s">
        <v>85</v>
      </c>
      <c r="C88" s="9" t="s">
        <v>110</v>
      </c>
      <c r="D88" s="39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5"/>
    </row>
    <row r="89" spans="1:29" s="7" customFormat="1" ht="16.350000000000001" customHeight="1">
      <c r="B89" s="40" t="s">
        <v>115</v>
      </c>
      <c r="C89" s="9" t="s">
        <v>110</v>
      </c>
      <c r="D89" s="39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5"/>
    </row>
    <row r="90" spans="1:29" s="7" customFormat="1" ht="16.350000000000001" customHeight="1">
      <c r="B90" s="40" t="s">
        <v>116</v>
      </c>
      <c r="C90" s="9" t="s">
        <v>110</v>
      </c>
      <c r="D90" s="39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5"/>
    </row>
    <row r="91" spans="1:29" s="7" customFormat="1" ht="16.350000000000001" customHeight="1">
      <c r="B91" s="40" t="s">
        <v>117</v>
      </c>
      <c r="C91" s="9" t="s">
        <v>110</v>
      </c>
      <c r="D91" s="39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5"/>
    </row>
    <row r="92" spans="1:29" s="7" customFormat="1" ht="16.350000000000001" customHeight="1">
      <c r="B92" s="40" t="s">
        <v>118</v>
      </c>
      <c r="C92" s="9" t="s">
        <v>110</v>
      </c>
      <c r="D92" s="39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5"/>
    </row>
    <row r="93" spans="1:29" s="7" customFormat="1" ht="16.350000000000001" customHeight="1">
      <c r="B93" s="40" t="s">
        <v>101</v>
      </c>
      <c r="C93" s="9" t="s">
        <v>110</v>
      </c>
      <c r="D93" s="39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5"/>
    </row>
    <row r="94" spans="1:29" s="7" customFormat="1" ht="16.350000000000001" customHeight="1">
      <c r="B94" s="40" t="s">
        <v>86</v>
      </c>
      <c r="C94" s="9" t="s">
        <v>110</v>
      </c>
      <c r="D94" s="39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5"/>
    </row>
    <row r="95" spans="1:29" s="7" customFormat="1" ht="16.350000000000001" customHeight="1">
      <c r="B95" s="40" t="s">
        <v>2</v>
      </c>
      <c r="C95" s="9" t="s">
        <v>110</v>
      </c>
      <c r="D95" s="39"/>
      <c r="E95" s="64"/>
      <c r="F95" s="64"/>
      <c r="G95" s="64"/>
      <c r="H95" s="38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5"/>
    </row>
    <row r="96" spans="1:29" ht="16.350000000000001" customHeight="1">
      <c r="B96" s="29" t="s">
        <v>3</v>
      </c>
      <c r="C96" s="28" t="s">
        <v>65</v>
      </c>
      <c r="D96" s="28"/>
      <c r="E96" s="70">
        <f>SUM(E84:E95)</f>
        <v>0</v>
      </c>
      <c r="F96" s="70">
        <f>SUM(F84:F95)</f>
        <v>0</v>
      </c>
    </row>
    <row r="97" spans="1:29" ht="16.350000000000001" customHeight="1">
      <c r="B97" s="32"/>
      <c r="C97" s="28"/>
      <c r="D97" s="28"/>
    </row>
    <row r="98" spans="1:29" s="26" customFormat="1" ht="15.75" customHeight="1" thickBot="1">
      <c r="A98" s="25" t="s">
        <v>91</v>
      </c>
      <c r="B98" s="20"/>
      <c r="C98" s="20" t="s">
        <v>20</v>
      </c>
      <c r="D98" s="20" t="s">
        <v>21</v>
      </c>
      <c r="E98" s="21">
        <v>2023</v>
      </c>
      <c r="F98" s="22">
        <v>2024</v>
      </c>
    </row>
    <row r="99" spans="1:29" s="7" customFormat="1" ht="16.350000000000001" customHeight="1">
      <c r="B99" s="44" t="s">
        <v>111</v>
      </c>
      <c r="C99" s="9" t="s">
        <v>110</v>
      </c>
      <c r="D99" s="37"/>
      <c r="E99" s="64">
        <f>E39-E54</f>
        <v>96066845.496178627</v>
      </c>
      <c r="F99" s="64">
        <f>F39-F54</f>
        <v>109391966.27178717</v>
      </c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5"/>
    </row>
    <row r="100" spans="1:29" s="7" customFormat="1" ht="16.350000000000001" customHeight="1">
      <c r="B100" s="40" t="s">
        <v>112</v>
      </c>
      <c r="C100" s="9" t="s">
        <v>110</v>
      </c>
      <c r="D100" s="39"/>
      <c r="E100" s="64">
        <f t="shared" ref="E100:F100" si="5">E40-E55</f>
        <v>2600950.2069999995</v>
      </c>
      <c r="F100" s="64">
        <f t="shared" si="5"/>
        <v>1762541.3073599981</v>
      </c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5"/>
    </row>
    <row r="101" spans="1:29" s="7" customFormat="1" ht="16.350000000000001" customHeight="1">
      <c r="B101" s="40" t="s">
        <v>113</v>
      </c>
      <c r="C101" s="9" t="s">
        <v>110</v>
      </c>
      <c r="D101" s="39"/>
      <c r="E101" s="64">
        <f t="shared" ref="E101:F101" si="6">E41-E56</f>
        <v>1659586.5329349991</v>
      </c>
      <c r="F101" s="64">
        <f t="shared" si="6"/>
        <v>-41699008.097387992</v>
      </c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5"/>
    </row>
    <row r="102" spans="1:29" s="7" customFormat="1" ht="16.350000000000001" customHeight="1">
      <c r="B102" s="40" t="s">
        <v>114</v>
      </c>
      <c r="C102" s="9" t="s">
        <v>110</v>
      </c>
      <c r="D102" s="39"/>
      <c r="E102" s="64">
        <f t="shared" ref="E102:F102" si="7">E42-E57</f>
        <v>-4970014.672216922</v>
      </c>
      <c r="F102" s="64">
        <f t="shared" si="7"/>
        <v>29370720.246424973</v>
      </c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5"/>
    </row>
    <row r="103" spans="1:29" s="7" customFormat="1" ht="16.350000000000001" customHeight="1">
      <c r="B103" s="40" t="s">
        <v>85</v>
      </c>
      <c r="C103" s="9" t="s">
        <v>110</v>
      </c>
      <c r="D103" s="39"/>
      <c r="E103" s="64">
        <f t="shared" ref="E103:F103" si="8">E43-E58</f>
        <v>-212792866.87457994</v>
      </c>
      <c r="F103" s="64">
        <f t="shared" si="8"/>
        <v>80358604.344609976</v>
      </c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5"/>
    </row>
    <row r="104" spans="1:29" s="7" customFormat="1" ht="16.350000000000001" customHeight="1">
      <c r="B104" s="40" t="s">
        <v>115</v>
      </c>
      <c r="C104" s="9" t="s">
        <v>110</v>
      </c>
      <c r="D104" s="39"/>
      <c r="E104" s="64">
        <f t="shared" ref="E104:F104" si="9">E44-E59</f>
        <v>47806879.711440004</v>
      </c>
      <c r="F104" s="64">
        <f t="shared" si="9"/>
        <v>41890874.061107986</v>
      </c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5"/>
    </row>
    <row r="105" spans="1:29" s="7" customFormat="1" ht="16.350000000000001" customHeight="1">
      <c r="B105" s="40" t="s">
        <v>116</v>
      </c>
      <c r="C105" s="9" t="s">
        <v>110</v>
      </c>
      <c r="D105" s="39"/>
      <c r="E105" s="64">
        <f t="shared" ref="E105:F105" si="10">E45-E60</f>
        <v>-121828301.20499994</v>
      </c>
      <c r="F105" s="64">
        <f t="shared" si="10"/>
        <v>39002636.8354</v>
      </c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5"/>
    </row>
    <row r="106" spans="1:29" s="7" customFormat="1" ht="16.350000000000001" customHeight="1">
      <c r="B106" s="40" t="s">
        <v>117</v>
      </c>
      <c r="C106" s="9" t="s">
        <v>110</v>
      </c>
      <c r="D106" s="39"/>
      <c r="E106" s="64">
        <f t="shared" ref="E106:F106" si="11">E46-E61</f>
        <v>215285537.61000001</v>
      </c>
      <c r="F106" s="64">
        <f t="shared" si="11"/>
        <v>220330646.89767998</v>
      </c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5"/>
    </row>
    <row r="107" spans="1:29" s="7" customFormat="1" ht="16.350000000000001" customHeight="1">
      <c r="B107" s="40" t="s">
        <v>118</v>
      </c>
      <c r="C107" s="9" t="s">
        <v>110</v>
      </c>
      <c r="D107" s="39"/>
      <c r="E107" s="64">
        <f t="shared" ref="E107:F107" si="12">E47-E62</f>
        <v>579012.24959999975</v>
      </c>
      <c r="F107" s="64">
        <f t="shared" si="12"/>
        <v>2544405.4799999995</v>
      </c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5"/>
    </row>
    <row r="108" spans="1:29" s="7" customFormat="1" ht="16.350000000000001" customHeight="1">
      <c r="B108" s="40" t="s">
        <v>101</v>
      </c>
      <c r="C108" s="9" t="s">
        <v>110</v>
      </c>
      <c r="D108" s="39"/>
      <c r="E108" s="64">
        <f t="shared" ref="E108:F108" si="13">E48-E63</f>
        <v>31546998.601100013</v>
      </c>
      <c r="F108" s="64">
        <f t="shared" si="13"/>
        <v>9431827.9089199975</v>
      </c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5"/>
    </row>
    <row r="109" spans="1:29" s="7" customFormat="1" ht="16.350000000000001" customHeight="1">
      <c r="B109" s="40" t="s">
        <v>86</v>
      </c>
      <c r="C109" s="9" t="s">
        <v>110</v>
      </c>
      <c r="D109" s="39"/>
      <c r="E109" s="64">
        <f t="shared" ref="E109:F109" si="14">E49-E64</f>
        <v>101496225.22420168</v>
      </c>
      <c r="F109" s="64">
        <f t="shared" si="14"/>
        <v>149560267.79645491</v>
      </c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5"/>
    </row>
    <row r="110" spans="1:29" s="7" customFormat="1" ht="16.350000000000001" customHeight="1">
      <c r="B110" s="40" t="s">
        <v>2</v>
      </c>
      <c r="C110" s="9" t="s">
        <v>110</v>
      </c>
      <c r="D110" s="39"/>
      <c r="E110" s="64">
        <f t="shared" ref="E110:F110" si="15">E50-E65</f>
        <v>0</v>
      </c>
      <c r="F110" s="64">
        <f t="shared" si="15"/>
        <v>0</v>
      </c>
      <c r="G110" s="64"/>
      <c r="H110" s="38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5"/>
    </row>
    <row r="111" spans="1:29" ht="16.350000000000001" customHeight="1">
      <c r="B111" s="29" t="s">
        <v>3</v>
      </c>
      <c r="C111" s="28" t="s">
        <v>65</v>
      </c>
      <c r="D111" s="28"/>
      <c r="E111" s="70">
        <f>SUM(E99:E110)</f>
        <v>157450852.88065857</v>
      </c>
      <c r="F111" s="70">
        <f>SUM(F99:F110)</f>
        <v>641945483.05235696</v>
      </c>
    </row>
    <row r="112" spans="1:29" s="82" customFormat="1" ht="15.75" customHeight="1" thickBot="1">
      <c r="A112" s="78" t="s">
        <v>127</v>
      </c>
      <c r="B112" s="79"/>
      <c r="C112" s="79" t="s">
        <v>20</v>
      </c>
      <c r="D112" s="79" t="s">
        <v>21</v>
      </c>
      <c r="E112" s="21">
        <v>2023</v>
      </c>
      <c r="F112" s="22">
        <v>2024</v>
      </c>
      <c r="G112" s="80"/>
      <c r="H112" s="81"/>
      <c r="I112" s="80"/>
      <c r="J112" s="81"/>
      <c r="K112" s="80"/>
      <c r="L112" s="80"/>
    </row>
    <row r="113" spans="2:12" s="83" customFormat="1" ht="16.350000000000001" customHeight="1">
      <c r="B113" s="84" t="s">
        <v>128</v>
      </c>
      <c r="C113" s="85" t="s">
        <v>65</v>
      </c>
      <c r="D113" s="85"/>
      <c r="E113" s="90">
        <v>351.745</v>
      </c>
      <c r="F113" s="90">
        <v>571.57600000000002</v>
      </c>
      <c r="G113" s="90"/>
      <c r="H113" s="90"/>
      <c r="I113" s="90"/>
      <c r="J113" s="90"/>
      <c r="K113" s="90"/>
      <c r="L113" s="90"/>
    </row>
    <row r="114" spans="2:12" s="83" customFormat="1" ht="16.350000000000001" customHeight="1">
      <c r="B114" s="86" t="s">
        <v>129</v>
      </c>
      <c r="C114" s="85" t="s">
        <v>65</v>
      </c>
      <c r="D114" s="85"/>
      <c r="E114" s="90">
        <v>39.533999999999999</v>
      </c>
      <c r="F114" s="90">
        <v>43.055999999999997</v>
      </c>
      <c r="G114" s="90"/>
      <c r="H114" s="90"/>
      <c r="I114" s="90"/>
      <c r="J114" s="90"/>
      <c r="K114" s="90"/>
      <c r="L114" s="90"/>
    </row>
    <row r="115" spans="2:12" s="83" customFormat="1" ht="16.350000000000001" customHeight="1">
      <c r="B115" s="84" t="s">
        <v>130</v>
      </c>
      <c r="C115" s="85" t="s">
        <v>65</v>
      </c>
      <c r="D115" s="85"/>
      <c r="E115" s="90">
        <v>31.942</v>
      </c>
      <c r="F115" s="90">
        <v>41.372</v>
      </c>
      <c r="G115" s="90"/>
      <c r="H115" s="90"/>
      <c r="I115" s="90"/>
      <c r="J115" s="90"/>
      <c r="K115" s="90"/>
      <c r="L115" s="90"/>
    </row>
    <row r="116" spans="2:12" s="83" customFormat="1" ht="16.350000000000001" customHeight="1">
      <c r="B116" s="87" t="s">
        <v>131</v>
      </c>
      <c r="C116" s="85" t="s">
        <v>65</v>
      </c>
      <c r="D116" s="88"/>
      <c r="E116" s="90">
        <v>6.2629999999999999</v>
      </c>
      <c r="F116" s="90">
        <v>14.337</v>
      </c>
      <c r="G116" s="90"/>
      <c r="H116" s="90"/>
      <c r="I116" s="90"/>
      <c r="J116" s="90"/>
      <c r="K116" s="90"/>
      <c r="L116" s="90"/>
    </row>
    <row r="117" spans="2:12" s="83" customFormat="1" ht="16.350000000000001" customHeight="1">
      <c r="B117" s="84" t="s">
        <v>132</v>
      </c>
      <c r="C117" s="85" t="s">
        <v>65</v>
      </c>
      <c r="D117" s="89"/>
      <c r="E117" s="90">
        <v>6.83</v>
      </c>
      <c r="F117" s="90">
        <v>6.8710000000000004</v>
      </c>
      <c r="G117" s="90"/>
      <c r="H117" s="90"/>
      <c r="I117" s="90"/>
      <c r="J117" s="90"/>
      <c r="K117" s="90"/>
      <c r="L117" s="90"/>
    </row>
    <row r="118" spans="2:12" s="83" customFormat="1" ht="16.350000000000001" customHeight="1">
      <c r="B118" s="87" t="s">
        <v>133</v>
      </c>
      <c r="C118" s="85" t="s">
        <v>65</v>
      </c>
      <c r="D118" s="85"/>
      <c r="E118" s="90">
        <v>2.3610000000000002</v>
      </c>
      <c r="F118" s="90">
        <v>2.3610000000000002</v>
      </c>
      <c r="G118" s="90"/>
      <c r="H118" s="90"/>
      <c r="I118" s="90"/>
      <c r="J118" s="90"/>
      <c r="K118" s="90"/>
      <c r="L118" s="90"/>
    </row>
    <row r="119" spans="2:12" s="83" customFormat="1" ht="16.350000000000001" customHeight="1">
      <c r="B119" s="84" t="s">
        <v>134</v>
      </c>
      <c r="C119" s="85" t="s">
        <v>65</v>
      </c>
      <c r="D119" s="85"/>
      <c r="E119" s="90">
        <v>3.4119999999999999</v>
      </c>
      <c r="F119" s="90">
        <v>3.4489999999999998</v>
      </c>
      <c r="G119" s="90"/>
      <c r="H119" s="90"/>
      <c r="I119" s="90"/>
      <c r="J119" s="90"/>
      <c r="K119" s="90"/>
      <c r="L119" s="90"/>
    </row>
    <row r="120" spans="2:12" s="83" customFormat="1" ht="16.350000000000001" customHeight="1">
      <c r="B120" s="84" t="s">
        <v>135</v>
      </c>
      <c r="C120" s="85" t="s">
        <v>65</v>
      </c>
      <c r="D120" s="85"/>
      <c r="E120" s="90">
        <v>1.111</v>
      </c>
      <c r="F120" s="90">
        <v>1.117</v>
      </c>
      <c r="G120" s="90"/>
      <c r="H120" s="90"/>
      <c r="I120" s="90"/>
      <c r="J120" s="90"/>
      <c r="K120" s="90"/>
      <c r="L120" s="90"/>
    </row>
    <row r="121" spans="2:12" s="83" customFormat="1" ht="16.350000000000001" customHeight="1">
      <c r="B121" s="84" t="s">
        <v>136</v>
      </c>
      <c r="C121" s="85" t="s">
        <v>65</v>
      </c>
      <c r="D121" s="85"/>
      <c r="E121" s="90">
        <v>2.7730000000000001</v>
      </c>
      <c r="F121" s="90">
        <v>2.7730000000000001</v>
      </c>
      <c r="G121" s="90"/>
      <c r="H121" s="90"/>
      <c r="I121" s="90"/>
      <c r="J121" s="90"/>
      <c r="K121" s="90"/>
      <c r="L121" s="90"/>
    </row>
    <row r="122" spans="2:12" s="83" customFormat="1" ht="27" customHeight="1">
      <c r="B122" s="84" t="s">
        <v>137</v>
      </c>
      <c r="C122" s="85" t="s">
        <v>65</v>
      </c>
      <c r="D122" s="85"/>
      <c r="E122" s="90">
        <v>4.4039999999999999</v>
      </c>
      <c r="F122" s="90">
        <v>7.5490000000000004</v>
      </c>
      <c r="G122" s="90"/>
      <c r="H122" s="90"/>
      <c r="I122" s="90"/>
      <c r="J122" s="90"/>
      <c r="K122" s="90"/>
      <c r="L122" s="90"/>
    </row>
    <row r="123" spans="2:12" s="83" customFormat="1" ht="26.25" customHeight="1">
      <c r="B123" s="84" t="s">
        <v>138</v>
      </c>
      <c r="C123" s="85" t="s">
        <v>65</v>
      </c>
      <c r="D123" s="85"/>
      <c r="E123" s="90">
        <v>3.1589999999999998</v>
      </c>
      <c r="F123" s="90">
        <v>5.3719999999999999</v>
      </c>
      <c r="G123" s="90"/>
      <c r="H123" s="90"/>
      <c r="I123" s="90"/>
      <c r="J123" s="90"/>
      <c r="K123" s="90"/>
      <c r="L123" s="90"/>
    </row>
    <row r="124" spans="2:12" s="83" customFormat="1" ht="16.350000000000001" customHeight="1">
      <c r="B124" s="84" t="s">
        <v>139</v>
      </c>
      <c r="C124" s="85" t="s">
        <v>65</v>
      </c>
      <c r="D124" s="85"/>
      <c r="E124" s="90">
        <v>1.873</v>
      </c>
      <c r="F124" s="90">
        <v>0.45800000000000002</v>
      </c>
      <c r="G124" s="90"/>
      <c r="H124" s="90"/>
      <c r="I124" s="90"/>
      <c r="J124" s="90"/>
      <c r="K124" s="90"/>
      <c r="L124" s="90"/>
    </row>
    <row r="125" spans="2:12" s="83" customFormat="1" ht="16.350000000000001" customHeight="1">
      <c r="B125" s="84" t="s">
        <v>140</v>
      </c>
      <c r="C125" s="85" t="s">
        <v>65</v>
      </c>
      <c r="D125" s="85"/>
      <c r="E125" s="90">
        <v>17.792999999999999</v>
      </c>
      <c r="F125" s="90">
        <v>106.90900000000001</v>
      </c>
      <c r="G125" s="90"/>
      <c r="H125" s="90"/>
      <c r="I125" s="90"/>
      <c r="J125" s="90"/>
      <c r="K125" s="90"/>
      <c r="L125" s="90"/>
    </row>
    <row r="126" spans="2:12" s="83" customFormat="1" ht="18" customHeight="1">
      <c r="B126" s="84" t="s">
        <v>141</v>
      </c>
      <c r="C126" s="85" t="s">
        <v>65</v>
      </c>
      <c r="D126" s="85"/>
      <c r="E126" s="90">
        <v>99.447999999999993</v>
      </c>
      <c r="F126" s="90">
        <v>189.49700000000001</v>
      </c>
      <c r="G126" s="90"/>
      <c r="H126" s="90"/>
      <c r="I126" s="90"/>
      <c r="J126" s="90"/>
      <c r="K126" s="90"/>
      <c r="L126" s="90"/>
    </row>
    <row r="127" spans="2:12" s="83" customFormat="1" ht="16.350000000000001" customHeight="1">
      <c r="B127" s="84" t="s">
        <v>142</v>
      </c>
      <c r="C127" s="85" t="s">
        <v>65</v>
      </c>
      <c r="D127" s="85"/>
      <c r="E127" s="90">
        <v>224.697</v>
      </c>
      <c r="F127" s="90">
        <v>227.21700000000001</v>
      </c>
      <c r="G127" s="90"/>
      <c r="H127" s="90"/>
      <c r="I127" s="90"/>
      <c r="J127" s="90"/>
      <c r="K127" s="90"/>
      <c r="L127" s="90"/>
    </row>
    <row r="128" spans="2:12" s="83" customFormat="1" ht="16.350000000000001" customHeight="1">
      <c r="B128" s="84" t="s">
        <v>143</v>
      </c>
      <c r="C128" s="85" t="s">
        <v>65</v>
      </c>
      <c r="D128" s="85"/>
      <c r="E128" s="90">
        <v>83.269000000000005</v>
      </c>
      <c r="F128" s="90">
        <v>71.415999999999997</v>
      </c>
      <c r="G128" s="90"/>
      <c r="H128" s="90"/>
      <c r="I128" s="90"/>
      <c r="J128" s="90"/>
      <c r="K128" s="90"/>
      <c r="L128" s="90"/>
    </row>
    <row r="129" spans="2:12" s="83" customFormat="1" ht="15.75" customHeight="1">
      <c r="B129" s="84" t="s">
        <v>144</v>
      </c>
      <c r="C129" s="85" t="s">
        <v>65</v>
      </c>
      <c r="D129" s="85"/>
      <c r="E129" s="90">
        <v>291.88</v>
      </c>
      <c r="F129" s="90">
        <v>323.13799999999998</v>
      </c>
      <c r="G129" s="90"/>
      <c r="H129" s="90"/>
      <c r="I129" s="90"/>
      <c r="J129" s="90"/>
      <c r="K129" s="90"/>
      <c r="L129" s="90"/>
    </row>
    <row r="130" spans="2:12" s="83" customFormat="1" ht="16.350000000000001" customHeight="1">
      <c r="B130" s="84" t="s">
        <v>145</v>
      </c>
      <c r="C130" s="85" t="s">
        <v>65</v>
      </c>
      <c r="D130" s="85"/>
      <c r="E130" s="90">
        <v>1590.598</v>
      </c>
      <c r="F130" s="90">
        <v>1739.433</v>
      </c>
      <c r="G130" s="90"/>
      <c r="H130" s="90"/>
      <c r="I130" s="90"/>
      <c r="J130" s="90"/>
      <c r="K130" s="90"/>
      <c r="L130" s="90"/>
    </row>
    <row r="131" spans="2:12" s="83" customFormat="1" ht="16.350000000000001" customHeight="1">
      <c r="B131" s="84" t="s">
        <v>146</v>
      </c>
      <c r="C131" s="85" t="s">
        <v>65</v>
      </c>
      <c r="D131" s="85"/>
      <c r="E131" s="90">
        <v>1.6379999999999999</v>
      </c>
      <c r="F131" s="90">
        <v>4.2519999999999998</v>
      </c>
      <c r="G131" s="90"/>
      <c r="H131" s="90"/>
      <c r="I131" s="90"/>
      <c r="J131" s="90"/>
      <c r="K131" s="90"/>
      <c r="L131" s="90"/>
    </row>
    <row r="132" spans="2:12">
      <c r="C132" s="28"/>
      <c r="D132" s="28"/>
    </row>
    <row r="133" spans="2:12">
      <c r="C133" s="28"/>
      <c r="D133" s="28"/>
    </row>
    <row r="134" spans="2:12">
      <c r="C134" s="28"/>
      <c r="D134" s="28"/>
    </row>
    <row r="135" spans="2:12" ht="13.15">
      <c r="C135" s="23"/>
      <c r="D135" s="23"/>
    </row>
    <row r="136" spans="2:12">
      <c r="C136" s="28"/>
      <c r="D136" s="28"/>
    </row>
    <row r="137" spans="2:12">
      <c r="C137" s="28"/>
      <c r="D137" s="28"/>
    </row>
    <row r="138" spans="2:12">
      <c r="C138" s="28"/>
      <c r="D138" s="28"/>
    </row>
    <row r="139" spans="2:12">
      <c r="C139" s="28"/>
      <c r="D139" s="28"/>
    </row>
    <row r="140" spans="2:12">
      <c r="C140" s="28"/>
      <c r="D140" s="28"/>
    </row>
    <row r="141" spans="2:12">
      <c r="C141" s="28"/>
      <c r="D141" s="28"/>
    </row>
    <row r="142" spans="2:12">
      <c r="C142" s="32"/>
      <c r="D142" s="32"/>
    </row>
    <row r="143" spans="2:12" ht="13.15">
      <c r="C143" s="23"/>
      <c r="D143" s="23"/>
    </row>
    <row r="144" spans="2:12">
      <c r="C144" s="28"/>
      <c r="D144" s="28"/>
    </row>
    <row r="145" spans="3:4">
      <c r="C145" s="28"/>
      <c r="D145" s="28"/>
    </row>
    <row r="146" spans="3:4">
      <c r="C146" s="28"/>
      <c r="D146" s="28"/>
    </row>
    <row r="147" spans="3:4">
      <c r="C147" s="28"/>
      <c r="D147" s="28"/>
    </row>
    <row r="148" spans="3:4">
      <c r="C148" s="28"/>
      <c r="D148" s="28"/>
    </row>
    <row r="149" spans="3:4">
      <c r="C149" s="28"/>
      <c r="D149" s="28"/>
    </row>
    <row r="150" spans="3:4">
      <c r="C150" s="28"/>
      <c r="D150" s="28"/>
    </row>
    <row r="151" spans="3:4">
      <c r="C151" s="28"/>
      <c r="D151" s="28"/>
    </row>
    <row r="152" spans="3:4">
      <c r="C152" s="28"/>
      <c r="D152" s="28"/>
    </row>
    <row r="153" spans="3:4" ht="13.15">
      <c r="C153" s="30"/>
      <c r="D153" s="30"/>
    </row>
    <row r="154" spans="3:4">
      <c r="C154" s="32"/>
      <c r="D154" s="32"/>
    </row>
    <row r="155" spans="3:4" ht="13.15">
      <c r="C155" s="23"/>
      <c r="D155" s="23"/>
    </row>
    <row r="156" spans="3:4">
      <c r="C156" s="28"/>
      <c r="D156" s="28"/>
    </row>
    <row r="157" spans="3:4">
      <c r="C157" s="28"/>
      <c r="D157" s="28"/>
    </row>
    <row r="158" spans="3:4">
      <c r="C158" s="28"/>
      <c r="D158" s="28"/>
    </row>
    <row r="159" spans="3:4">
      <c r="C159" s="28"/>
      <c r="D159" s="28"/>
    </row>
    <row r="160" spans="3:4">
      <c r="C160" s="28"/>
      <c r="D160" s="28"/>
    </row>
    <row r="161" spans="3:4">
      <c r="C161" s="28"/>
      <c r="D161" s="28"/>
    </row>
    <row r="162" spans="3:4">
      <c r="C162" s="28"/>
      <c r="D162" s="28"/>
    </row>
    <row r="163" spans="3:4">
      <c r="C163" s="28"/>
      <c r="D163" s="28"/>
    </row>
    <row r="164" spans="3:4">
      <c r="C164" s="28"/>
      <c r="D164" s="28"/>
    </row>
    <row r="165" spans="3:4" ht="13.15">
      <c r="C165" s="30"/>
      <c r="D165" s="30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  <pageSetUpPr fitToPage="1"/>
  </sheetPr>
  <dimension ref="A1:AC131"/>
  <sheetViews>
    <sheetView topLeftCell="A28" zoomScale="85" zoomScaleNormal="85" workbookViewId="0">
      <selection activeCell="M66" sqref="M66:N66"/>
    </sheetView>
  </sheetViews>
  <sheetFormatPr defaultColWidth="8" defaultRowHeight="12.75"/>
  <cols>
    <col min="1" max="1" width="8" style="7"/>
    <col min="2" max="2" width="39.73046875" style="15" customWidth="1"/>
    <col min="3" max="4" width="7.73046875" style="15" customWidth="1"/>
    <col min="5" max="5" width="10.59765625" style="7" customWidth="1"/>
    <col min="6" max="16384" width="8" style="7"/>
  </cols>
  <sheetData>
    <row r="1" spans="1:29" s="26" customFormat="1" ht="15.75" customHeight="1" thickBot="1">
      <c r="A1" s="25" t="s">
        <v>4</v>
      </c>
      <c r="B1" s="20"/>
      <c r="C1" s="20" t="s">
        <v>20</v>
      </c>
      <c r="D1" s="20" t="s">
        <v>21</v>
      </c>
      <c r="E1" s="1" t="s">
        <v>16</v>
      </c>
      <c r="F1" s="2" t="s">
        <v>17</v>
      </c>
      <c r="G1" s="1" t="s">
        <v>18</v>
      </c>
      <c r="H1" s="2" t="s">
        <v>19</v>
      </c>
      <c r="I1" s="1" t="s">
        <v>73</v>
      </c>
      <c r="J1" s="2" t="s">
        <v>74</v>
      </c>
      <c r="K1" s="1" t="s">
        <v>71</v>
      </c>
      <c r="L1" s="1" t="s">
        <v>72</v>
      </c>
      <c r="M1" s="1" t="s">
        <v>158</v>
      </c>
      <c r="N1" s="68" t="s">
        <v>159</v>
      </c>
      <c r="O1" s="68" t="s">
        <v>162</v>
      </c>
    </row>
    <row r="2" spans="1:29" ht="16.350000000000001" customHeight="1">
      <c r="B2" s="44" t="s">
        <v>111</v>
      </c>
      <c r="C2" s="9" t="s">
        <v>110</v>
      </c>
      <c r="D2" s="37"/>
      <c r="E2" s="64">
        <f>SUM('[12] Физический_ежемесячный'!E7:G7)</f>
        <v>638271419.54110003</v>
      </c>
      <c r="F2" s="64">
        <f>SUM('[12] Физический_ежемесячный'!H7:J7)</f>
        <v>634232731.49000001</v>
      </c>
      <c r="G2" s="64">
        <f>SUM('[12] Физический_ежемесячный'!K7:M7)</f>
        <v>721437550.64120007</v>
      </c>
      <c r="H2" s="64">
        <f>SUM('[12] Физический_ежемесячный'!N7:P7)</f>
        <v>765811591.09440005</v>
      </c>
      <c r="I2" s="64">
        <f>SUM('[12] Физический_ежемесячный'!Q7:S7)</f>
        <v>755092795.20000017</v>
      </c>
      <c r="J2" s="64">
        <f>SUM('[12] Физический_ежемесячный'!T7:V7)</f>
        <v>735367286.69999993</v>
      </c>
      <c r="K2" s="64">
        <f>SUM('[12] Физический_ежемесячный'!W7:Y7)</f>
        <v>856574969.04850006</v>
      </c>
      <c r="L2" s="64">
        <f>SUM('[12] Физический_ежемесячный'!Z7:AB7)</f>
        <v>909922475.43429995</v>
      </c>
      <c r="M2" s="64">
        <f>SUM('[12] Физический_ежемесячный'!AC7:AE7)</f>
        <v>921858950.86910009</v>
      </c>
      <c r="N2" s="64">
        <f>SUM('[13] Коммерческий_ежемесячно'!AF2:AH2)</f>
        <v>967019509.2974</v>
      </c>
      <c r="O2" s="64">
        <f>SUM('[13] Коммерческий_ежемесячно'!AI2:AK2)</f>
        <v>1141502718.8643</v>
      </c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5"/>
    </row>
    <row r="3" spans="1:29" ht="16.350000000000001" customHeight="1">
      <c r="B3" s="40" t="s">
        <v>112</v>
      </c>
      <c r="C3" s="9" t="s">
        <v>110</v>
      </c>
      <c r="D3" s="39"/>
      <c r="E3" s="64">
        <f>SUM('[12] Физический_ежемесячный'!E8:G8)</f>
        <v>3802436.4</v>
      </c>
      <c r="F3" s="64">
        <f>SUM('[12] Физический_ежемесячный'!H8:J8)</f>
        <v>1936043.8199999994</v>
      </c>
      <c r="G3" s="64">
        <f>SUM('[12] Физический_ежемесячный'!K8:M8)</f>
        <v>1634180.5500000007</v>
      </c>
      <c r="H3" s="64">
        <f>SUM('[12] Физический_ежемесячный'!N8:P8)</f>
        <v>2525008.2699999996</v>
      </c>
      <c r="I3" s="64">
        <f>SUM('[12] Физический_ежемесячный'!Q8:S8)</f>
        <v>2080536.8135999991</v>
      </c>
      <c r="J3" s="64">
        <f>SUM('[12] Физический_ежемесячный'!T8:V8)</f>
        <v>1571788.7255899981</v>
      </c>
      <c r="K3" s="64">
        <f>SUM('[12] Физический_ежемесячный'!W8:Y8)</f>
        <v>2354326.2726999987</v>
      </c>
      <c r="L3" s="64">
        <f>SUM('[12] Физический_ежемесячный'!Z8:AB8)</f>
        <v>2893105.3546000002</v>
      </c>
      <c r="M3" s="64">
        <f>SUM('[12] Физический_ежемесячный'!AC8:AE8)</f>
        <v>3189674.6980999997</v>
      </c>
      <c r="N3" s="64">
        <f>SUM('[13] Коммерческий_ежемесячно'!AF3:AH3)</f>
        <v>1746232.6092000003</v>
      </c>
      <c r="O3" s="64">
        <f>SUM('[13] Коммерческий_ежемесячно'!AI3:AK3)</f>
        <v>2937601.4816999994</v>
      </c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5"/>
    </row>
    <row r="4" spans="1:29" ht="16.350000000000001" customHeight="1">
      <c r="B4" s="40" t="s">
        <v>113</v>
      </c>
      <c r="C4" s="9" t="s">
        <v>110</v>
      </c>
      <c r="D4" s="39"/>
      <c r="E4" s="64">
        <f>SUM('[12] Физический_ежемесячный'!E9:G9)</f>
        <v>7047594.2524000006</v>
      </c>
      <c r="F4" s="64">
        <f>SUM('[12] Физический_ежемесячный'!H9:J9)</f>
        <v>3506249.43</v>
      </c>
      <c r="G4" s="64">
        <f>SUM('[12] Физический_ежемесячный'!K9:M9)</f>
        <v>4313574.05</v>
      </c>
      <c r="H4" s="64">
        <f>SUM('[12] Физический_ежемесячный'!N9:P9)</f>
        <v>5141339.7700000005</v>
      </c>
      <c r="I4" s="64">
        <f>SUM('[12] Физический_ежемесячный'!Q9:S9)</f>
        <v>5493007.1799999997</v>
      </c>
      <c r="J4" s="64">
        <f>SUM('[12] Физический_ежемесячный'!T9:V9)</f>
        <v>3273391.5</v>
      </c>
      <c r="K4" s="64">
        <f>SUM('[12] Физический_ежемесячный'!W9:Y9)</f>
        <v>3482647.36</v>
      </c>
      <c r="L4" s="64">
        <f>SUM('[12] Физический_ежемесячный'!Z9:AB9)</f>
        <v>5930186.9100000001</v>
      </c>
      <c r="M4" s="64">
        <f>SUM('[12] Физический_ежемесячный'!AC9:AE9)</f>
        <v>6669871.267</v>
      </c>
      <c r="N4" s="64">
        <f>SUM('[13] Коммерческий_ежемесячно'!AF4:AH4)</f>
        <v>3632579.2690000003</v>
      </c>
      <c r="O4" s="64">
        <f>SUM('[13] Коммерческий_ежемесячно'!AI4:AK4)</f>
        <v>4692574.3990000002</v>
      </c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5"/>
    </row>
    <row r="5" spans="1:29" ht="16.350000000000001" customHeight="1">
      <c r="B5" s="40" t="s">
        <v>114</v>
      </c>
      <c r="C5" s="9" t="s">
        <v>110</v>
      </c>
      <c r="D5" s="39"/>
      <c r="E5" s="64">
        <f>SUM('[12] Физический_ежемесячный'!E10:G10)</f>
        <v>214522481.19</v>
      </c>
      <c r="F5" s="64">
        <f>SUM('[12] Физический_ежемесячный'!H10:J10)</f>
        <v>109425279.33000001</v>
      </c>
      <c r="G5" s="64">
        <f>SUM('[12] Физический_ежемесячный'!K10:M10)</f>
        <v>115335855.93200001</v>
      </c>
      <c r="H5" s="64">
        <f>SUM('[12] Физический_ежемесячный'!N10:P10)</f>
        <v>167395302.91999999</v>
      </c>
      <c r="I5" s="64">
        <f>SUM('[12] Физический_ежемесячный'!Q10:S10)</f>
        <v>205401414.50999999</v>
      </c>
      <c r="J5" s="64">
        <f>SUM('[12] Физический_ежемесячный'!T10:V10)</f>
        <v>119836924.69</v>
      </c>
      <c r="K5" s="64">
        <f>SUM('[12] Физический_ежемесячный'!W10:Y10)</f>
        <v>126716852.05130002</v>
      </c>
      <c r="L5" s="64">
        <f>SUM('[12] Физический_ежемесячный'!Z10:AB10)</f>
        <v>183788580.99070001</v>
      </c>
      <c r="M5" s="64">
        <f>SUM('[12] Физический_ежемесячный'!AC10:AE10)</f>
        <v>224168623.40809998</v>
      </c>
      <c r="N5" s="64">
        <f>SUM('[13] Коммерческий_ежемесячно'!AF5:AH5)</f>
        <v>128737485.45370001</v>
      </c>
      <c r="O5" s="64">
        <f>SUM('[13] Коммерческий_ежемесячно'!AI5:AK5)</f>
        <v>132741256.55020002</v>
      </c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5"/>
    </row>
    <row r="6" spans="1:29" ht="16.350000000000001" customHeight="1">
      <c r="B6" s="40" t="s">
        <v>85</v>
      </c>
      <c r="C6" s="9" t="s">
        <v>110</v>
      </c>
      <c r="D6" s="39"/>
      <c r="E6" s="64">
        <f>SUM('[12] Физический_ежемесячный'!E11:G11)</f>
        <v>78808405.400000006</v>
      </c>
      <c r="F6" s="64">
        <f>SUM('[12] Физический_ежемесячный'!H11:J11)</f>
        <v>888071474.43000007</v>
      </c>
      <c r="G6" s="64">
        <f>SUM('[12] Физический_ежемесячный'!K11:M11)</f>
        <v>1023178192.89</v>
      </c>
      <c r="H6" s="64">
        <f>SUM('[12] Физический_ежемесячный'!N11:P11)</f>
        <v>91240084.480000004</v>
      </c>
      <c r="I6" s="64">
        <f>SUM('[12] Физический_ежемесячный'!Q11:S11)</f>
        <v>60466805.299999997</v>
      </c>
      <c r="J6" s="64">
        <f>SUM('[12] Физический_ежемесячный'!T11:V11)</f>
        <v>628370909.94000006</v>
      </c>
      <c r="K6" s="64">
        <f>SUM('[12] Физический_ежемесячный'!W11:Y11)</f>
        <v>884521098.17999995</v>
      </c>
      <c r="L6" s="64">
        <f>SUM('[12] Физический_ежемесячный'!Z11:AB11)</f>
        <v>79572516.519999996</v>
      </c>
      <c r="M6" s="64">
        <f>SUM('[12] Физический_ежемесячный'!AC11:AE11)</f>
        <v>64382778.030000001</v>
      </c>
      <c r="N6" s="64">
        <f>SUM('[13] Коммерческий_ежемесячно'!AF6:AH6)</f>
        <v>854839339.40999997</v>
      </c>
      <c r="O6" s="64">
        <f>SUM('[13] Коммерческий_ежемесячно'!AI6:AK6)</f>
        <v>1014411920.295</v>
      </c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5"/>
    </row>
    <row r="7" spans="1:29" ht="16.350000000000001" customHeight="1">
      <c r="B7" s="40" t="s">
        <v>115</v>
      </c>
      <c r="C7" s="9" t="s">
        <v>110</v>
      </c>
      <c r="D7" s="39"/>
      <c r="E7" s="64">
        <f>SUM('[12] Физический_ежемесячный'!E12:G12)</f>
        <v>186174641.78</v>
      </c>
      <c r="F7" s="64">
        <f>SUM('[12] Физический_ежемесячный'!H12:J12)</f>
        <v>152891299.93000001</v>
      </c>
      <c r="G7" s="64">
        <f>SUM('[12] Физический_ежемесячный'!K12:M12)</f>
        <v>154284831.50999999</v>
      </c>
      <c r="H7" s="64">
        <f>SUM('[12] Физический_ежемесячный'!N12:P12)</f>
        <v>155272125.41</v>
      </c>
      <c r="I7" s="64">
        <f>SUM('[12] Физический_ежемесячный'!Q12:S12)</f>
        <v>157132675.76999998</v>
      </c>
      <c r="J7" s="64">
        <f>SUM('[12] Физический_ежемесячный'!T12:V12)</f>
        <v>147333687.37</v>
      </c>
      <c r="K7" s="64">
        <f>SUM('[12] Физический_ежемесячный'!W12:Y12)</f>
        <v>174971691.38300002</v>
      </c>
      <c r="L7" s="64">
        <f>SUM('[12] Физический_ежемесячный'!Z12:AB12)</f>
        <v>186478113.22600001</v>
      </c>
      <c r="M7" s="64">
        <f>SUM('[12] Физический_ежемесячный'!AC12:AE12)</f>
        <v>168446725.815</v>
      </c>
      <c r="N7" s="64">
        <f>SUM('[13] Коммерческий_ежемесячно'!AF7:AH7)</f>
        <v>112864354.442</v>
      </c>
      <c r="O7" s="64">
        <f>SUM('[13] Коммерческий_ежемесячно'!AI7:AK7)</f>
        <v>129957490.711</v>
      </c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5"/>
    </row>
    <row r="8" spans="1:29" ht="16.350000000000001" customHeight="1">
      <c r="B8" s="40" t="s">
        <v>116</v>
      </c>
      <c r="C8" s="9" t="s">
        <v>110</v>
      </c>
      <c r="D8" s="39"/>
      <c r="E8" s="64">
        <f>SUM('[12] Физический_ежемесячный'!E13:G13)</f>
        <v>43633227</v>
      </c>
      <c r="F8" s="64">
        <f>SUM('[12] Физический_ежемесячный'!H13:J13)</f>
        <v>72449242</v>
      </c>
      <c r="G8" s="64">
        <f>SUM('[12] Физический_ежемесячный'!K13:M13)</f>
        <v>83373610</v>
      </c>
      <c r="H8" s="64">
        <f>SUM('[12] Физический_ежемесячный'!N13:P13)</f>
        <v>30102062</v>
      </c>
      <c r="I8" s="64">
        <f>SUM('[12] Физический_ежемесячный'!Q13:S13)</f>
        <v>29064058.59</v>
      </c>
      <c r="J8" s="64">
        <f>SUM('[12] Физический_ежемесячный'!T13:V13)</f>
        <v>184687672</v>
      </c>
      <c r="K8" s="64">
        <f>SUM('[12] Физический_ежемесячный'!W13:Y13)</f>
        <v>215424774</v>
      </c>
      <c r="L8" s="64">
        <f>SUM('[12] Физический_ежемесячный'!Z13:AB13)</f>
        <v>40108792.629999995</v>
      </c>
      <c r="M8" s="64">
        <f>SUM('[12] Физический_ежемесячный'!AC13:AE13)</f>
        <v>43379853.934419677</v>
      </c>
      <c r="N8" s="64">
        <f>SUM('[13] Коммерческий_ежемесячно'!AF8:AH8)</f>
        <v>32327006.440000001</v>
      </c>
      <c r="O8" s="64">
        <f>SUM('[13] Коммерческий_ежемесячно'!AI8:AK8)</f>
        <v>27530073.927999999</v>
      </c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5"/>
    </row>
    <row r="9" spans="1:29" ht="16.350000000000001" customHeight="1">
      <c r="B9" s="40" t="s">
        <v>117</v>
      </c>
      <c r="C9" s="9" t="s">
        <v>110</v>
      </c>
      <c r="D9" s="39"/>
      <c r="E9" s="64">
        <f>SUM('[12] Физический_ежемесячный'!E14:G14)</f>
        <v>413840253</v>
      </c>
      <c r="F9" s="64">
        <f>SUM('[12] Физический_ежемесячный'!H14:J14)</f>
        <v>413908150</v>
      </c>
      <c r="G9" s="64">
        <f>SUM('[12] Физический_ежемесячный'!K14:M14)</f>
        <v>442844971</v>
      </c>
      <c r="H9" s="64">
        <f>SUM('[12] Физический_ежемесячный'!N14:P14)</f>
        <v>461315199.63</v>
      </c>
      <c r="I9" s="64">
        <f>SUM('[12] Физический_ежемесячный'!Q14:S14)</f>
        <v>481572302.39999998</v>
      </c>
      <c r="J9" s="64">
        <f>SUM('[12] Физический_ежемесячный'!T14:V14)</f>
        <v>489283752.71000004</v>
      </c>
      <c r="K9" s="64">
        <f>SUM('[12] Физический_ежемесячный'!W14:Y14)</f>
        <v>516871761.89999998</v>
      </c>
      <c r="L9" s="64">
        <f>SUM('[12] Физический_ежемесячный'!Z14:AB14)</f>
        <v>550031941.45000005</v>
      </c>
      <c r="M9" s="64">
        <f>SUM('[12] Физический_ежемесячный'!AC14:AE14)</f>
        <v>595123722</v>
      </c>
      <c r="N9" s="64">
        <f>SUM('[13] Коммерческий_ежемесячно'!AF9:AH9)</f>
        <v>588225209.35000002</v>
      </c>
      <c r="O9" s="64">
        <f>SUM('[13] Коммерческий_ежемесячно'!AI9:AK9)</f>
        <v>500758127.38</v>
      </c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5"/>
    </row>
    <row r="10" spans="1:29" ht="16.350000000000001" customHeight="1">
      <c r="B10" s="40" t="s">
        <v>118</v>
      </c>
      <c r="C10" s="9" t="s">
        <v>110</v>
      </c>
      <c r="D10" s="39"/>
      <c r="E10" s="64">
        <f>SUM('[12] Физический_ежемесячный'!E15:G15)</f>
        <v>5415408</v>
      </c>
      <c r="F10" s="64">
        <f>SUM('[12] Физический_ежемесячный'!H15:J15)</f>
        <v>1630861</v>
      </c>
      <c r="G10" s="64">
        <f>SUM('[12] Физический_ежемесячный'!K15:M15)</f>
        <v>408752</v>
      </c>
      <c r="H10" s="64">
        <f>SUM('[12] Физический_ежемесячный'!N15:P15)</f>
        <v>2342171</v>
      </c>
      <c r="I10" s="64">
        <f>SUM('[12] Физический_ежемесячный'!Q15:S15)</f>
        <v>5936215</v>
      </c>
      <c r="J10" s="64">
        <f>SUM('[12] Физический_ежемесячный'!T15:V15)</f>
        <v>3954167.1</v>
      </c>
      <c r="K10" s="64">
        <f>SUM('[12] Физический_ежемесячный'!W15:Y15)</f>
        <v>4863839</v>
      </c>
      <c r="L10" s="64">
        <f>SUM('[12] Физический_ежемесячный'!Z15:AB15)</f>
        <v>6595282</v>
      </c>
      <c r="M10" s="64">
        <f>SUM('[12] Физический_ежемесячный'!AC15:AE15)</f>
        <v>7774397</v>
      </c>
      <c r="N10" s="64">
        <f>SUM('[13] Коммерческий_ежемесячно'!AF10:AH10)</f>
        <v>5162399</v>
      </c>
      <c r="O10" s="64">
        <f>SUM('[13] Коммерческий_ежемесячно'!AI10:AK10)</f>
        <v>6728880</v>
      </c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5"/>
    </row>
    <row r="11" spans="1:29" ht="16.350000000000001" customHeight="1">
      <c r="B11" s="40" t="s">
        <v>101</v>
      </c>
      <c r="C11" s="9" t="s">
        <v>110</v>
      </c>
      <c r="D11" s="39"/>
      <c r="E11" s="64">
        <f>SUM('[12] Физический_ежемесячный'!E16:G16)</f>
        <v>0</v>
      </c>
      <c r="F11" s="64">
        <f>SUM('[12] Физический_ежемесячный'!H16:J16)</f>
        <v>35949170</v>
      </c>
      <c r="G11" s="64">
        <f>SUM('[12] Физический_ежемесячный'!K16:M16)</f>
        <v>43902462</v>
      </c>
      <c r="H11" s="64">
        <f>SUM('[12] Физический_ежемесячный'!N16:P16)</f>
        <v>37281664</v>
      </c>
      <c r="I11" s="64">
        <f>SUM('[12] Физический_ежемесячный'!Q16:S16)</f>
        <v>14676764</v>
      </c>
      <c r="J11" s="64">
        <f>SUM('[12] Физический_ежемесячный'!T16:V16)</f>
        <v>32443482</v>
      </c>
      <c r="K11" s="64">
        <f>SUM('[12] Физический_ежемесячный'!W16:Y16)</f>
        <v>45472660</v>
      </c>
      <c r="L11" s="64">
        <f>SUM('[12] Физический_ежемесячный'!Z16:AB16)</f>
        <v>14703568</v>
      </c>
      <c r="M11" s="64">
        <f>SUM('[12] Физический_ежемесячный'!AC16:AE16)</f>
        <v>8758319.3499999996</v>
      </c>
      <c r="N11" s="64">
        <f>SUM('[13] Коммерческий_ежемесячно'!AF11:AH11)</f>
        <v>21293519.530000001</v>
      </c>
      <c r="O11" s="64">
        <f>SUM('[13] Коммерческий_ежемесячно'!AI11:AK11)</f>
        <v>43120400</v>
      </c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5"/>
    </row>
    <row r="12" spans="1:29" ht="16.350000000000001" customHeight="1">
      <c r="B12" s="40" t="s">
        <v>86</v>
      </c>
      <c r="C12" s="9" t="s">
        <v>110</v>
      </c>
      <c r="D12" s="39"/>
      <c r="E12" s="64">
        <f>SUM('[12] Физический_ежемесячный'!E17:G17)</f>
        <v>2016636757.1800001</v>
      </c>
      <c r="F12" s="64">
        <f>SUM('[12] Физический_ежемесячный'!H17:J17)</f>
        <v>1106026223.4300001</v>
      </c>
      <c r="G12" s="64">
        <f>SUM('[12] Физический_ежемесячный'!K17:M17)</f>
        <v>1068649944.98</v>
      </c>
      <c r="H12" s="64">
        <f>SUM('[12] Физический_ежемесячный'!N17:P17)</f>
        <v>1639738688.46</v>
      </c>
      <c r="I12" s="64">
        <f>SUM('[12] Физический_ежемесячный'!Q17:S17)</f>
        <v>1994721355.8300002</v>
      </c>
      <c r="J12" s="64">
        <f>SUM('[12] Физический_ежемесячный'!T17:V17)</f>
        <v>1151705456.8670001</v>
      </c>
      <c r="K12" s="64">
        <f>SUM('[12] Физический_ежемесячный'!W17:Y17)</f>
        <v>1208111631.9569998</v>
      </c>
      <c r="L12" s="64">
        <f>SUM('[12] Физический_ежемесячный'!Z17:AB17)</f>
        <v>1890141908.2819996</v>
      </c>
      <c r="M12" s="64">
        <f>SUM('[12] Физический_ежемесячный'!AC17:AE17)</f>
        <v>2231566778.1199999</v>
      </c>
      <c r="N12" s="64">
        <f>SUM('[13] Коммерческий_ежемесячно'!AF12:AH12)</f>
        <v>1385386596.0710001</v>
      </c>
      <c r="O12" s="64">
        <f>SUM('[13] Коммерческий_ежемесячно'!AI12:AK12)</f>
        <v>1525925811.2089999</v>
      </c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5"/>
    </row>
    <row r="13" spans="1:29" ht="16.350000000000001" customHeight="1">
      <c r="B13" s="40" t="s">
        <v>2</v>
      </c>
      <c r="C13" s="9" t="s">
        <v>110</v>
      </c>
      <c r="D13" s="39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5"/>
    </row>
    <row r="14" spans="1:29" ht="16.350000000000001" customHeight="1">
      <c r="B14" s="41" t="s">
        <v>108</v>
      </c>
      <c r="C14" s="9" t="s">
        <v>110</v>
      </c>
      <c r="D14" s="39"/>
      <c r="E14" s="66">
        <f>SUBTOTAL(9,E2:E12)</f>
        <v>3608152623.7435002</v>
      </c>
      <c r="F14" s="66">
        <f t="shared" ref="F14:N14" si="0">SUBTOTAL(9,F2:F12)</f>
        <v>3420026724.8600006</v>
      </c>
      <c r="G14" s="66">
        <f t="shared" si="0"/>
        <v>3659363925.5532002</v>
      </c>
      <c r="H14" s="66">
        <f t="shared" si="0"/>
        <v>3358165237.0344</v>
      </c>
      <c r="I14" s="66">
        <f t="shared" si="0"/>
        <v>3711637930.5936003</v>
      </c>
      <c r="J14" s="66">
        <f t="shared" si="0"/>
        <v>3497828519.6025901</v>
      </c>
      <c r="K14" s="66">
        <f t="shared" si="0"/>
        <v>4039366251.1524997</v>
      </c>
      <c r="L14" s="66">
        <f t="shared" si="0"/>
        <v>3870166470.7975998</v>
      </c>
      <c r="M14" s="66">
        <f t="shared" si="0"/>
        <v>4275319694.4917192</v>
      </c>
      <c r="N14" s="66">
        <f t="shared" si="0"/>
        <v>4101234230.8723001</v>
      </c>
      <c r="O14" s="66">
        <f>SUBTOTAL(9,O2:O12)</f>
        <v>4530306854.8182001</v>
      </c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5"/>
    </row>
    <row r="15" spans="1:29" s="27" customFormat="1" ht="16.350000000000001" customHeight="1">
      <c r="B15" s="30"/>
      <c r="C15" s="28"/>
      <c r="D15" s="28"/>
      <c r="E15" s="31"/>
      <c r="F15" s="31"/>
      <c r="G15" s="31"/>
      <c r="H15" s="31"/>
      <c r="I15" s="31"/>
      <c r="J15" s="31"/>
      <c r="K15" s="31"/>
      <c r="L15" s="31"/>
      <c r="M15" s="31"/>
    </row>
    <row r="16" spans="1:29" s="26" customFormat="1" ht="15.75" customHeight="1" thickBot="1">
      <c r="A16" s="25" t="s">
        <v>92</v>
      </c>
      <c r="B16" s="20"/>
      <c r="C16" s="20" t="s">
        <v>20</v>
      </c>
      <c r="D16" s="20" t="s">
        <v>21</v>
      </c>
      <c r="E16" s="1" t="s">
        <v>16</v>
      </c>
      <c r="F16" s="2" t="s">
        <v>17</v>
      </c>
      <c r="G16" s="1" t="s">
        <v>18</v>
      </c>
      <c r="H16" s="2" t="s">
        <v>19</v>
      </c>
      <c r="I16" s="1" t="s">
        <v>73</v>
      </c>
      <c r="J16" s="2" t="s">
        <v>74</v>
      </c>
      <c r="K16" s="1" t="s">
        <v>71</v>
      </c>
      <c r="L16" s="1" t="s">
        <v>72</v>
      </c>
      <c r="M16" s="1" t="s">
        <v>158</v>
      </c>
      <c r="N16" s="68" t="s">
        <v>159</v>
      </c>
      <c r="O16" s="68" t="s">
        <v>162</v>
      </c>
    </row>
    <row r="17" spans="1:29" ht="16.5" customHeight="1">
      <c r="B17" s="44" t="s">
        <v>111</v>
      </c>
      <c r="C17" s="9" t="s">
        <v>120</v>
      </c>
      <c r="D17" s="37"/>
      <c r="E17" s="71">
        <f t="shared" ref="E17:M27" si="1">E39/E2</f>
        <v>0.69170441690940687</v>
      </c>
      <c r="F17" s="71">
        <f t="shared" si="1"/>
        <v>0.68661673635148546</v>
      </c>
      <c r="G17" s="71">
        <f t="shared" si="1"/>
        <v>0.68467907994994126</v>
      </c>
      <c r="H17" s="71">
        <f t="shared" si="1"/>
        <v>0.68489797654760309</v>
      </c>
      <c r="I17" s="71">
        <f t="shared" si="1"/>
        <v>0.78426588222459037</v>
      </c>
      <c r="J17" s="71">
        <f t="shared" si="1"/>
        <v>0.77686532151130017</v>
      </c>
      <c r="K17" s="71">
        <f t="shared" si="1"/>
        <v>0.78859915966340166</v>
      </c>
      <c r="L17" s="71">
        <f t="shared" si="1"/>
        <v>0.81283182806515708</v>
      </c>
      <c r="M17" s="71">
        <f t="shared" si="1"/>
        <v>0.783400966192352</v>
      </c>
      <c r="N17" s="71">
        <f t="shared" ref="N17:O17" si="2">N39/N2</f>
        <v>0.90545200142978133</v>
      </c>
      <c r="O17" s="71">
        <f t="shared" si="2"/>
        <v>0.89741783407602083</v>
      </c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5"/>
    </row>
    <row r="18" spans="1:29" ht="16.350000000000001" customHeight="1">
      <c r="B18" s="40" t="s">
        <v>112</v>
      </c>
      <c r="C18" s="9" t="s">
        <v>120</v>
      </c>
      <c r="D18" s="39"/>
      <c r="E18" s="71">
        <f t="shared" si="1"/>
        <v>0.69749923522718227</v>
      </c>
      <c r="F18" s="71">
        <f t="shared" si="1"/>
        <v>0.29629391549618878</v>
      </c>
      <c r="G18" s="71">
        <f t="shared" si="1"/>
        <v>0.12240023356048453</v>
      </c>
      <c r="H18" s="71">
        <f t="shared" si="1"/>
        <v>0.6474707985807906</v>
      </c>
      <c r="I18" s="71">
        <f t="shared" si="1"/>
        <v>0.80200093413045537</v>
      </c>
      <c r="J18" s="71">
        <f t="shared" si="1"/>
        <v>0.39681701735446584</v>
      </c>
      <c r="K18" s="71">
        <f t="shared" si="1"/>
        <v>0.14192676940091073</v>
      </c>
      <c r="L18" s="71">
        <f t="shared" si="1"/>
        <v>0.80262890893617389</v>
      </c>
      <c r="M18" s="71">
        <f t="shared" si="1"/>
        <v>0.80168001101936581</v>
      </c>
      <c r="N18" s="71">
        <f t="shared" ref="N18:O18" si="3">N40/N3</f>
        <v>0.2695374822651086</v>
      </c>
      <c r="O18" s="71">
        <f t="shared" si="3"/>
        <v>0.20895971871608973</v>
      </c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5"/>
    </row>
    <row r="19" spans="1:29" ht="16.350000000000001" customHeight="1">
      <c r="B19" s="40" t="s">
        <v>113</v>
      </c>
      <c r="C19" s="9" t="s">
        <v>120</v>
      </c>
      <c r="D19" s="39"/>
      <c r="E19" s="71">
        <f t="shared" si="1"/>
        <v>0.49822450978137134</v>
      </c>
      <c r="F19" s="71">
        <f t="shared" si="1"/>
        <v>0.52299640640226785</v>
      </c>
      <c r="G19" s="71">
        <f t="shared" si="1"/>
        <v>0.56998284037224312</v>
      </c>
      <c r="H19" s="71">
        <f t="shared" si="1"/>
        <v>0.5314616758697509</v>
      </c>
      <c r="I19" s="71">
        <f t="shared" si="1"/>
        <v>0.59241824217932315</v>
      </c>
      <c r="J19" s="71">
        <f t="shared" si="1"/>
        <v>0.57552135425780859</v>
      </c>
      <c r="K19" s="71">
        <f t="shared" si="1"/>
        <v>0.59139793419854036</v>
      </c>
      <c r="L19" s="71">
        <f t="shared" si="1"/>
        <v>0.59665529503790971</v>
      </c>
      <c r="M19" s="71">
        <f t="shared" si="1"/>
        <v>0.59421420449613005</v>
      </c>
      <c r="N19" s="71">
        <f t="shared" ref="N19:O19" si="4">N41/N4</f>
        <v>0.69476367016259588</v>
      </c>
      <c r="O19" s="71">
        <f t="shared" si="4"/>
        <v>0.69855860471270492</v>
      </c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5"/>
    </row>
    <row r="20" spans="1:29" ht="16.350000000000001" customHeight="1">
      <c r="B20" s="40" t="s">
        <v>114</v>
      </c>
      <c r="C20" s="9" t="s">
        <v>120</v>
      </c>
      <c r="D20" s="39"/>
      <c r="E20" s="71">
        <f t="shared" si="1"/>
        <v>0.30663204779693887</v>
      </c>
      <c r="F20" s="71">
        <f t="shared" si="1"/>
        <v>0.30809726270390364</v>
      </c>
      <c r="G20" s="71">
        <f t="shared" si="1"/>
        <v>0.30292900346891399</v>
      </c>
      <c r="H20" s="71">
        <f t="shared" si="1"/>
        <v>0.30569133485525762</v>
      </c>
      <c r="I20" s="71">
        <f t="shared" si="1"/>
        <v>0.35312651113762772</v>
      </c>
      <c r="J20" s="71">
        <f t="shared" si="1"/>
        <v>0.34962406605796559</v>
      </c>
      <c r="K20" s="71">
        <f t="shared" si="1"/>
        <v>0.35194362157778575</v>
      </c>
      <c r="L20" s="71">
        <f t="shared" si="1"/>
        <v>0.35459988056168618</v>
      </c>
      <c r="M20" s="71">
        <f t="shared" si="1"/>
        <v>0.35064679506871949</v>
      </c>
      <c r="N20" s="71">
        <f t="shared" ref="N20:O20" si="5">N42/N5</f>
        <v>0.40525522601925695</v>
      </c>
      <c r="O20" s="71">
        <f t="shared" si="5"/>
        <v>0.4017870086396258</v>
      </c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5"/>
    </row>
    <row r="21" spans="1:29" ht="16.350000000000001" customHeight="1">
      <c r="B21" s="40" t="s">
        <v>85</v>
      </c>
      <c r="C21" s="9" t="s">
        <v>120</v>
      </c>
      <c r="D21" s="39"/>
      <c r="E21" s="71">
        <f t="shared" si="1"/>
        <v>0.24339380125942761</v>
      </c>
      <c r="F21" s="71">
        <f t="shared" si="1"/>
        <v>9.22405217717156E-2</v>
      </c>
      <c r="G21" s="71">
        <f t="shared" si="1"/>
        <v>9.2605343164019707E-2</v>
      </c>
      <c r="H21" s="71">
        <f t="shared" si="1"/>
        <v>0.21083492602000709</v>
      </c>
      <c r="I21" s="71">
        <f t="shared" si="1"/>
        <v>0.24842717255313637</v>
      </c>
      <c r="J21" s="71">
        <f t="shared" si="1"/>
        <v>0.10699288549484183</v>
      </c>
      <c r="K21" s="71">
        <f t="shared" si="1"/>
        <v>0.10731577508927115</v>
      </c>
      <c r="L21" s="71">
        <f t="shared" si="1"/>
        <v>0.2687783157610007</v>
      </c>
      <c r="M21" s="71">
        <f t="shared" si="1"/>
        <v>0.2878383907789106</v>
      </c>
      <c r="N21" s="71">
        <f t="shared" ref="N21:O21" si="6">N43/N6</f>
        <v>0.12404407987780604</v>
      </c>
      <c r="O21" s="71">
        <f t="shared" si="6"/>
        <v>0.12179184971816123</v>
      </c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5"/>
    </row>
    <row r="22" spans="1:29" ht="16.350000000000001" customHeight="1">
      <c r="B22" s="40" t="s">
        <v>115</v>
      </c>
      <c r="C22" s="9" t="s">
        <v>120</v>
      </c>
      <c r="D22" s="39"/>
      <c r="E22" s="71">
        <f t="shared" si="1"/>
        <v>0.12888923847725531</v>
      </c>
      <c r="F22" s="71">
        <f t="shared" si="1"/>
        <v>0.12060844782366681</v>
      </c>
      <c r="G22" s="71">
        <f t="shared" si="1"/>
        <v>0.12199795482565</v>
      </c>
      <c r="H22" s="71">
        <f t="shared" si="1"/>
        <v>0.12988642887605592</v>
      </c>
      <c r="I22" s="71">
        <f t="shared" si="1"/>
        <v>0.14613831146687667</v>
      </c>
      <c r="J22" s="71">
        <f t="shared" si="1"/>
        <v>0.14733332623642731</v>
      </c>
      <c r="K22" s="71">
        <f t="shared" si="1"/>
        <v>0.14703826306446535</v>
      </c>
      <c r="L22" s="71">
        <f t="shared" si="1"/>
        <v>0.14825651322948569</v>
      </c>
      <c r="M22" s="71">
        <f t="shared" si="1"/>
        <v>0.14734007266427321</v>
      </c>
      <c r="N22" s="71">
        <f t="shared" ref="N22:O22" si="7">N44/N7</f>
        <v>0.16909487733578898</v>
      </c>
      <c r="O22" s="71">
        <f t="shared" si="7"/>
        <v>0.16382480754050852</v>
      </c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5"/>
    </row>
    <row r="23" spans="1:29" ht="16.350000000000001" customHeight="1">
      <c r="B23" s="40" t="s">
        <v>116</v>
      </c>
      <c r="C23" s="9" t="s">
        <v>120</v>
      </c>
      <c r="D23" s="39"/>
      <c r="E23" s="71">
        <f t="shared" si="1"/>
        <v>9.2209667485744301E-2</v>
      </c>
      <c r="F23" s="71">
        <f t="shared" si="1"/>
        <v>8.9625164994824924E-2</v>
      </c>
      <c r="G23" s="71">
        <f t="shared" si="1"/>
        <v>8.6533257370047925E-2</v>
      </c>
      <c r="H23" s="71">
        <f t="shared" si="1"/>
        <v>9.0724305929607077E-2</v>
      </c>
      <c r="I23" s="71">
        <f t="shared" si="1"/>
        <v>0.10697040237421296</v>
      </c>
      <c r="J23" s="71">
        <f t="shared" si="1"/>
        <v>0.10547699477797304</v>
      </c>
      <c r="K23" s="71">
        <f t="shared" si="1"/>
        <v>0.10787912132380838</v>
      </c>
      <c r="L23" s="71">
        <f t="shared" si="1"/>
        <v>0.11136377050799297</v>
      </c>
      <c r="M23" s="71">
        <f t="shared" si="1"/>
        <v>0.10922547756817304</v>
      </c>
      <c r="N23" s="71">
        <f t="shared" ref="N23:O23" si="8">N45/N8</f>
        <v>0.13329341690507607</v>
      </c>
      <c r="O23" s="71">
        <f t="shared" si="8"/>
        <v>0.12274785511691126</v>
      </c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5"/>
    </row>
    <row r="24" spans="1:29" ht="16.350000000000001" customHeight="1">
      <c r="B24" s="40" t="s">
        <v>117</v>
      </c>
      <c r="C24" s="9" t="s">
        <v>120</v>
      </c>
      <c r="D24" s="39"/>
      <c r="E24" s="71">
        <f t="shared" si="1"/>
        <v>0.18011033711599825</v>
      </c>
      <c r="F24" s="71">
        <f t="shared" si="1"/>
        <v>0.1560130164143905</v>
      </c>
      <c r="G24" s="71">
        <f t="shared" si="1"/>
        <v>0.15594548596556154</v>
      </c>
      <c r="H24" s="71">
        <f t="shared" si="1"/>
        <v>0.1563223951385935</v>
      </c>
      <c r="I24" s="71">
        <f t="shared" si="1"/>
        <v>0.18121874029107368</v>
      </c>
      <c r="J24" s="71">
        <f t="shared" si="1"/>
        <v>0.18084728159253982</v>
      </c>
      <c r="K24" s="71">
        <f t="shared" si="1"/>
        <v>0.18077149381605634</v>
      </c>
      <c r="L24" s="71">
        <f t="shared" si="1"/>
        <v>0.18115203186202158</v>
      </c>
      <c r="M24" s="71">
        <f t="shared" si="1"/>
        <v>0.18126904165584581</v>
      </c>
      <c r="N24" s="71">
        <f t="shared" ref="N24:O24" si="9">N46/N9</f>
        <v>0.20797681215462513</v>
      </c>
      <c r="O24" s="71">
        <f t="shared" si="9"/>
        <v>0.20803213566806034</v>
      </c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5"/>
    </row>
    <row r="25" spans="1:29" ht="16.350000000000001" customHeight="1">
      <c r="B25" s="40" t="s">
        <v>118</v>
      </c>
      <c r="C25" s="9" t="s">
        <v>120</v>
      </c>
      <c r="D25" s="39"/>
      <c r="E25" s="71">
        <f t="shared" si="1"/>
        <v>0.17007456132575791</v>
      </c>
      <c r="F25" s="71">
        <f t="shared" si="1"/>
        <v>0.17460688458427787</v>
      </c>
      <c r="G25" s="71">
        <f t="shared" si="1"/>
        <v>0.69747499999999996</v>
      </c>
      <c r="H25" s="71">
        <f t="shared" si="1"/>
        <v>0.29042312452848235</v>
      </c>
      <c r="I25" s="71">
        <f t="shared" si="1"/>
        <v>0.17010005028456684</v>
      </c>
      <c r="J25" s="71">
        <f t="shared" si="1"/>
        <v>0.1701000471123236</v>
      </c>
      <c r="K25" s="71">
        <f t="shared" si="1"/>
        <v>0.17010005470987014</v>
      </c>
      <c r="L25" s="71">
        <f t="shared" si="1"/>
        <v>0.17010003059763024</v>
      </c>
      <c r="M25" s="71">
        <f t="shared" si="1"/>
        <v>0.17270002162225573</v>
      </c>
      <c r="N25" s="71">
        <f t="shared" ref="N25:O25" si="10">N47/N10</f>
        <v>0.16197983728107804</v>
      </c>
      <c r="O25" s="71">
        <f t="shared" si="10"/>
        <v>0.15137176320576382</v>
      </c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5"/>
    </row>
    <row r="26" spans="1:29" ht="16.350000000000001" customHeight="1">
      <c r="B26" s="40" t="s">
        <v>101</v>
      </c>
      <c r="C26" s="9" t="s">
        <v>120</v>
      </c>
      <c r="D26" s="39"/>
      <c r="E26" s="71" t="e">
        <f t="shared" si="1"/>
        <v>#DIV/0!</v>
      </c>
      <c r="F26" s="71">
        <f t="shared" si="1"/>
        <v>0.46050968133895726</v>
      </c>
      <c r="G26" s="71">
        <f t="shared" si="1"/>
        <v>0.45999999999999996</v>
      </c>
      <c r="H26" s="71">
        <f t="shared" si="1"/>
        <v>0.45999999999999991</v>
      </c>
      <c r="I26" s="71">
        <f t="shared" si="1"/>
        <v>0.52895999999999999</v>
      </c>
      <c r="J26" s="71">
        <f t="shared" si="1"/>
        <v>0.52898270321292895</v>
      </c>
      <c r="K26" s="71">
        <f t="shared" si="1"/>
        <v>0.52897265934123938</v>
      </c>
      <c r="L26" s="71">
        <f t="shared" si="1"/>
        <v>0.48645146035030407</v>
      </c>
      <c r="M26" s="71">
        <f t="shared" si="1"/>
        <v>0.30532769034689289</v>
      </c>
      <c r="N26" s="71">
        <f t="shared" ref="N26:O26" si="11">N48/N11</f>
        <v>0.35360000771089062</v>
      </c>
      <c r="O26" s="71">
        <f t="shared" si="11"/>
        <v>0.35360000000000003</v>
      </c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5"/>
    </row>
    <row r="27" spans="1:29" ht="16.350000000000001" customHeight="1">
      <c r="B27" s="40" t="s">
        <v>86</v>
      </c>
      <c r="C27" s="9" t="s">
        <v>120</v>
      </c>
      <c r="D27" s="39"/>
      <c r="E27" s="71">
        <f t="shared" si="1"/>
        <v>0.26608193592675117</v>
      </c>
      <c r="F27" s="71">
        <f t="shared" si="1"/>
        <v>0.26581065034694307</v>
      </c>
      <c r="G27" s="71">
        <f t="shared" si="1"/>
        <v>0.26557282124382786</v>
      </c>
      <c r="H27" s="71">
        <f t="shared" si="1"/>
        <v>0.26605727451690991</v>
      </c>
      <c r="I27" s="71">
        <f t="shared" si="1"/>
        <v>0.30975860476507527</v>
      </c>
      <c r="J27" s="71">
        <f t="shared" si="1"/>
        <v>0.30808192462911016</v>
      </c>
      <c r="K27" s="71">
        <f t="shared" si="1"/>
        <v>0.30835967779429718</v>
      </c>
      <c r="L27" s="71">
        <f t="shared" si="1"/>
        <v>0.31034291372165396</v>
      </c>
      <c r="M27" s="71">
        <f t="shared" si="1"/>
        <v>0.31106225447511465</v>
      </c>
      <c r="N27" s="71">
        <f t="shared" ref="N27:O27" si="12">N49/N12</f>
        <v>0.3552216306448675</v>
      </c>
      <c r="O27" s="71">
        <f t="shared" si="12"/>
        <v>0.35424833273329048</v>
      </c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5"/>
    </row>
    <row r="28" spans="1:29" ht="16.350000000000001" customHeight="1">
      <c r="B28" s="40" t="s">
        <v>2</v>
      </c>
      <c r="C28" s="9" t="s">
        <v>120</v>
      </c>
      <c r="D28" s="39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5"/>
    </row>
    <row r="29" spans="1:29" ht="16.350000000000001" customHeight="1">
      <c r="B29" s="41" t="s">
        <v>108</v>
      </c>
      <c r="C29" s="9" t="s">
        <v>120</v>
      </c>
      <c r="D29" s="39"/>
      <c r="E29" s="73">
        <f t="shared" ref="E29:M29" si="13">E51/E14</f>
        <v>0.32501048716560366</v>
      </c>
      <c r="F29" s="73">
        <f t="shared" si="13"/>
        <v>0.27890237438145249</v>
      </c>
      <c r="G29" s="73">
        <f t="shared" si="13"/>
        <v>0.28029011487294192</v>
      </c>
      <c r="H29" s="73">
        <f t="shared" si="13"/>
        <v>0.34196792957972194</v>
      </c>
      <c r="I29" s="73">
        <f t="shared" si="13"/>
        <v>0.38383804560305212</v>
      </c>
      <c r="J29" s="73">
        <f t="shared" si="13"/>
        <v>0.33885178301501789</v>
      </c>
      <c r="K29" s="73">
        <f t="shared" si="13"/>
        <v>0.33599959498435183</v>
      </c>
      <c r="L29" s="73">
        <f t="shared" si="13"/>
        <v>0.40273521723157979</v>
      </c>
      <c r="M29" s="73">
        <f t="shared" si="13"/>
        <v>0.38861400330272228</v>
      </c>
      <c r="N29" s="73">
        <f t="shared" ref="N29:O29" si="14">N51/N14</f>
        <v>0.41036655231572183</v>
      </c>
      <c r="O29" s="73">
        <f t="shared" si="14"/>
        <v>0.4173764746590749</v>
      </c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5"/>
    </row>
    <row r="30" spans="1:29" s="27" customFormat="1" ht="16.350000000000001" customHeight="1">
      <c r="B30" s="30"/>
      <c r="C30" s="28"/>
      <c r="D30" s="28"/>
      <c r="E30" s="31"/>
      <c r="F30" s="31"/>
      <c r="G30" s="31"/>
      <c r="H30" s="31"/>
      <c r="I30" s="31"/>
      <c r="J30" s="31"/>
      <c r="K30" s="31"/>
      <c r="L30" s="31"/>
      <c r="M30" s="31"/>
    </row>
    <row r="31" spans="1:29" s="26" customFormat="1" ht="15.75" customHeight="1" thickBot="1">
      <c r="A31" s="25" t="s">
        <v>87</v>
      </c>
      <c r="B31" s="20"/>
      <c r="C31" s="20" t="s">
        <v>20</v>
      </c>
      <c r="D31" s="20" t="s">
        <v>21</v>
      </c>
      <c r="E31" s="1" t="s">
        <v>16</v>
      </c>
      <c r="F31" s="2" t="s">
        <v>17</v>
      </c>
      <c r="G31" s="1" t="s">
        <v>18</v>
      </c>
      <c r="H31" s="2" t="s">
        <v>19</v>
      </c>
      <c r="I31" s="1" t="s">
        <v>73</v>
      </c>
      <c r="J31" s="2" t="s">
        <v>74</v>
      </c>
      <c r="K31" s="1" t="s">
        <v>71</v>
      </c>
      <c r="L31" s="1" t="s">
        <v>72</v>
      </c>
      <c r="M31" s="1" t="s">
        <v>158</v>
      </c>
      <c r="N31" s="68" t="s">
        <v>159</v>
      </c>
      <c r="O31" s="68" t="s">
        <v>162</v>
      </c>
    </row>
    <row r="32" spans="1:29" ht="16.350000000000001" customHeight="1">
      <c r="B32" s="44" t="s">
        <v>150</v>
      </c>
      <c r="C32" s="9" t="s">
        <v>152</v>
      </c>
      <c r="D32" s="37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5"/>
    </row>
    <row r="33" spans="1:29" ht="16.350000000000001" customHeight="1">
      <c r="B33" s="40" t="s">
        <v>143</v>
      </c>
      <c r="C33" s="9" t="s">
        <v>152</v>
      </c>
      <c r="D33" s="39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5"/>
    </row>
    <row r="34" spans="1:29" ht="16.350000000000001" customHeight="1">
      <c r="B34" s="40" t="s">
        <v>85</v>
      </c>
      <c r="C34" s="9" t="s">
        <v>152</v>
      </c>
      <c r="D34" s="39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5"/>
    </row>
    <row r="35" spans="1:29" ht="16.350000000000001" customHeight="1">
      <c r="B35" s="40" t="s">
        <v>151</v>
      </c>
      <c r="C35" s="9" t="s">
        <v>152</v>
      </c>
      <c r="D35" s="39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5"/>
    </row>
    <row r="36" spans="1:29" ht="16.350000000000001" customHeight="1">
      <c r="B36" s="41" t="s">
        <v>108</v>
      </c>
      <c r="C36" s="9" t="s">
        <v>110</v>
      </c>
      <c r="D36" s="39"/>
      <c r="E36" s="66">
        <f>SUBTOTAL(9,E32:E35)</f>
        <v>0</v>
      </c>
      <c r="F36" s="66">
        <f t="shared" ref="F36:M36" si="15">SUBTOTAL(9,F32:F35)</f>
        <v>0</v>
      </c>
      <c r="G36" s="66">
        <f t="shared" si="15"/>
        <v>0</v>
      </c>
      <c r="H36" s="66">
        <f t="shared" si="15"/>
        <v>0</v>
      </c>
      <c r="I36" s="66">
        <f t="shared" si="15"/>
        <v>0</v>
      </c>
      <c r="J36" s="66">
        <f t="shared" si="15"/>
        <v>0</v>
      </c>
      <c r="K36" s="66">
        <f t="shared" si="15"/>
        <v>0</v>
      </c>
      <c r="L36" s="66">
        <f t="shared" si="15"/>
        <v>0</v>
      </c>
      <c r="M36" s="66">
        <f t="shared" si="15"/>
        <v>0</v>
      </c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5"/>
    </row>
    <row r="37" spans="1:29" s="27" customFormat="1" ht="16.350000000000001" customHeight="1">
      <c r="B37" s="30"/>
      <c r="C37" s="28"/>
      <c r="D37" s="28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29" s="26" customFormat="1" ht="15.75" customHeight="1" thickBot="1">
      <c r="A38" s="25" t="s">
        <v>89</v>
      </c>
      <c r="B38" s="20"/>
      <c r="C38" s="20" t="s">
        <v>20</v>
      </c>
      <c r="D38" s="20" t="s">
        <v>21</v>
      </c>
      <c r="E38" s="1" t="s">
        <v>16</v>
      </c>
      <c r="F38" s="2" t="s">
        <v>17</v>
      </c>
      <c r="G38" s="1" t="s">
        <v>18</v>
      </c>
      <c r="H38" s="2" t="s">
        <v>19</v>
      </c>
      <c r="I38" s="1" t="s">
        <v>73</v>
      </c>
      <c r="J38" s="2" t="s">
        <v>74</v>
      </c>
      <c r="K38" s="1" t="s">
        <v>71</v>
      </c>
      <c r="L38" s="1" t="s">
        <v>72</v>
      </c>
      <c r="M38" s="1" t="s">
        <v>158</v>
      </c>
      <c r="N38" s="68" t="s">
        <v>159</v>
      </c>
      <c r="O38" s="68" t="s">
        <v>162</v>
      </c>
    </row>
    <row r="39" spans="1:29" ht="16.350000000000001" customHeight="1">
      <c r="B39" s="44" t="s">
        <v>111</v>
      </c>
      <c r="C39" s="39" t="s">
        <v>119</v>
      </c>
      <c r="D39" s="37"/>
      <c r="E39" s="64">
        <f>SUM('[13] Коммерческий_ежемесячно'!E42:G42)</f>
        <v>441495160.08361602</v>
      </c>
      <c r="F39" s="64">
        <f>SUM('[13] Коммерческий_ежемесячно'!H42:J42)</f>
        <v>435474808.18295181</v>
      </c>
      <c r="G39" s="64">
        <f>SUM('[13] Коммерческий_ежемесячно'!K42:M42)</f>
        <v>493953198.41435605</v>
      </c>
      <c r="H39" s="64">
        <f>SUM('[13] Коммерческий_ежемесячно'!N42:P42)</f>
        <v>524502809.15725505</v>
      </c>
      <c r="I39" s="64">
        <f>SUM('[13] Коммерческий_ежемесячно'!Q42:S42)</f>
        <v>592193517.18896008</v>
      </c>
      <c r="J39" s="64">
        <f>SUM('[13] Коммерческий_ежемесячно'!T42:V42)</f>
        <v>571281343.61108792</v>
      </c>
      <c r="K39" s="64">
        <f>SUM('[13] Коммерческий_ежемесячно'!W42:Y42)</f>
        <v>675494300.7803514</v>
      </c>
      <c r="L39" s="64">
        <f>SUM('[13] Коммерческий_ежемесячно'!Z42:AB42)</f>
        <v>739613949.10483503</v>
      </c>
      <c r="M39" s="64">
        <f>SUM('[13] Коммерческий_ежемесячно'!AC42:AE42)</f>
        <v>722185192.80392098</v>
      </c>
      <c r="N39" s="64">
        <f>SUM('[13] Коммерческий_ежемесячно'!AF42:AH42)</f>
        <v>875589750.11497581</v>
      </c>
      <c r="O39" s="64">
        <f>SUM('[13] Коммерческий_ежемесячно'!AI42:AK42)</f>
        <v>1024404897.555089</v>
      </c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5"/>
    </row>
    <row r="40" spans="1:29" ht="16.350000000000001" customHeight="1">
      <c r="B40" s="40" t="s">
        <v>112</v>
      </c>
      <c r="C40" s="39" t="s">
        <v>119</v>
      </c>
      <c r="D40" s="39"/>
      <c r="E40" s="64">
        <f>SUM('[13] Коммерческий_ежемесячно'!E43:G43)</f>
        <v>2652196.4810000001</v>
      </c>
      <c r="F40" s="64">
        <f>SUM('[13] Коммерческий_ежемесячно'!H43:J43)</f>
        <v>573638.00399999833</v>
      </c>
      <c r="G40" s="64">
        <f>SUM('[13] Коммерческий_ежемесячно'!K43:M43)</f>
        <v>200024.08100000117</v>
      </c>
      <c r="H40" s="64">
        <f>SUM('[13] Коммерческий_ежемесячно'!N43:P43)</f>
        <v>1634869.1210000003</v>
      </c>
      <c r="I40" s="64">
        <f>SUM('[13] Коммерческий_ежемесячно'!Q43:S43)</f>
        <v>1668592.4680000003</v>
      </c>
      <c r="J40" s="64">
        <f>SUM('[13] Коммерческий_ежемесячно'!T43:V43)</f>
        <v>623712.51399999997</v>
      </c>
      <c r="K40" s="64">
        <f>SUM('[13] Коммерческий_ежемесячно'!W43:Y43)</f>
        <v>334141.92199999839</v>
      </c>
      <c r="L40" s="64">
        <f>SUM('[13] Коммерческий_ежемесячно'!Z43:AB43)</f>
        <v>2322089.9942000005</v>
      </c>
      <c r="M40" s="64">
        <f>SUM('[13] Коммерческий_ежемесячно'!AC43:AE43)</f>
        <v>2557098.4471209999</v>
      </c>
      <c r="N40" s="64">
        <f>SUM('[13] Коммерческий_ежемесячно'!AF43:AH43)</f>
        <v>470675.14093299943</v>
      </c>
      <c r="O40" s="64">
        <f>SUM('[13] Коммерческий_ежемесячно'!AI43:AK43)</f>
        <v>613840.37931600027</v>
      </c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5"/>
    </row>
    <row r="41" spans="1:29" ht="16.350000000000001" customHeight="1">
      <c r="B41" s="40" t="s">
        <v>113</v>
      </c>
      <c r="C41" s="39" t="s">
        <v>119</v>
      </c>
      <c r="D41" s="39"/>
      <c r="E41" s="64">
        <f>SUM('[13] Коммерческий_ежемесячно'!E44:G44)</f>
        <v>3511284.1915400005</v>
      </c>
      <c r="F41" s="64">
        <f>SUM('[13] Коммерческий_ежемесячно'!H44:J44)</f>
        <v>1833755.8518400001</v>
      </c>
      <c r="G41" s="64">
        <f>SUM('[13] Коммерческий_ежемесячно'!K44:M44)</f>
        <v>2458663.1891749999</v>
      </c>
      <c r="H41" s="64">
        <f>SUM('[13] Коммерческий_ежемесячно'!N44:P44)</f>
        <v>2732425.0503799999</v>
      </c>
      <c r="I41" s="64">
        <f>SUM('[13] Коммерческий_ежемесячно'!Q44:S44)</f>
        <v>3254157.657854001</v>
      </c>
      <c r="J41" s="64">
        <f>SUM('[13] Коммерческий_ежемесячно'!T44:V44)</f>
        <v>1883906.7090959996</v>
      </c>
      <c r="K41" s="64">
        <f>SUM('[13] Коммерческий_ежемесячно'!W44:Y44)</f>
        <v>2059630.4542460002</v>
      </c>
      <c r="L41" s="64">
        <f>SUM('[13] Коммерческий_ежемесячно'!Z44:AB44)</f>
        <v>3538277.4204160003</v>
      </c>
      <c r="M41" s="64">
        <f>SUM('[13] Коммерческий_ежемесячно'!AC44:AE44)</f>
        <v>3963332.2490119999</v>
      </c>
      <c r="N41" s="64">
        <f>SUM('[13] Коммерческий_ежемесячно'!AF44:AH44)</f>
        <v>2523784.1050869999</v>
      </c>
      <c r="O41" s="64">
        <f>SUM('[13] Коммерческий_ежемесячно'!AI44:AK44)</f>
        <v>3278038.224676</v>
      </c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5"/>
    </row>
    <row r="42" spans="1:29" ht="16.350000000000001" customHeight="1">
      <c r="B42" s="40" t="s">
        <v>114</v>
      </c>
      <c r="C42" s="39" t="s">
        <v>119</v>
      </c>
      <c r="D42" s="39"/>
      <c r="E42" s="64">
        <f>SUM('[13] Коммерческий_ежемесячно'!E45:G45)</f>
        <v>65779467.705770001</v>
      </c>
      <c r="F42" s="64">
        <f>SUM('[13] Коммерческий_ежемесячно'!H45:J45)</f>
        <v>33713629.032183051</v>
      </c>
      <c r="G42" s="64">
        <f>SUM('[13] Коммерческий_ежемесячно'!K45:M45)</f>
        <v>34938575.901714996</v>
      </c>
      <c r="H42" s="64">
        <f>SUM('[13] Коммерческий_ежемесячно'!N45:P45)</f>
        <v>51171293.598114997</v>
      </c>
      <c r="I42" s="64">
        <f>SUM('[13] Коммерческий_ежемесячно'!Q45:S45)</f>
        <v>72532684.88865</v>
      </c>
      <c r="J42" s="64">
        <f>SUM('[13] Коммерческий_ежемесячно'!T45:V45)</f>
        <v>41897872.874000005</v>
      </c>
      <c r="K42" s="64">
        <f>SUM('[13] Коммерческий_ежемесячно'!W45:Y45)</f>
        <v>44597187.825870998</v>
      </c>
      <c r="L42" s="64">
        <f>SUM('[13] Коммерческий_ежемесячно'!Z45:AB45)</f>
        <v>65171408.867904007</v>
      </c>
      <c r="M42" s="64">
        <f>SUM('[13] Коммерческий_ежемесячно'!AC45:AE45)</f>
        <v>78604009.353016987</v>
      </c>
      <c r="N42" s="64">
        <f>SUM('[13] Коммерческий_ежемесячно'!AF45:AH45)</f>
        <v>52171538.764689997</v>
      </c>
      <c r="O42" s="64">
        <f>SUM('[13] Коммерческий_ежемесячно'!AI45:AK45)</f>
        <v>53333712.39237</v>
      </c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5"/>
    </row>
    <row r="43" spans="1:29" ht="16.350000000000001" customHeight="1">
      <c r="B43" s="40" t="s">
        <v>85</v>
      </c>
      <c r="C43" s="39" t="s">
        <v>119</v>
      </c>
      <c r="D43" s="39"/>
      <c r="E43" s="64">
        <f>SUM('[13] Коммерческий_ежемесячно'!E46:G46)</f>
        <v>19181477.361500002</v>
      </c>
      <c r="F43" s="64">
        <f>SUM('[13] Коммерческий_ежемесячно'!H46:J46)</f>
        <v>81916176.171999991</v>
      </c>
      <c r="G43" s="64">
        <f>SUM('[13] Коммерческий_ежемесячно'!K46:M46)</f>
        <v>94751767.670519993</v>
      </c>
      <c r="H43" s="64">
        <f>SUM('[13] Коммерческий_ежемесячно'!N46:P46)</f>
        <v>19236596.461399999</v>
      </c>
      <c r="I43" s="64">
        <f>SUM('[13] Коммерческий_ежемесячно'!Q46:S46)</f>
        <v>15021597.473999999</v>
      </c>
      <c r="J43" s="64">
        <f>SUM('[13] Коммерческий_ежемесячно'!T46:V46)</f>
        <v>67231216.815499991</v>
      </c>
      <c r="K43" s="64">
        <f>SUM('[13] Коммерческий_ежемесячно'!W46:Y46)</f>
        <v>94923067.233999997</v>
      </c>
      <c r="L43" s="64">
        <f>SUM('[13] Коммерческий_ежемесячно'!Z46:AB46)</f>
        <v>21387366.971110001</v>
      </c>
      <c r="M43" s="64">
        <f>SUM('[13] Коммерческий_ежемесячно'!AC46:AE46)</f>
        <v>18531835.222031001</v>
      </c>
      <c r="N43" s="64">
        <f>SUM('[13] Коммерческий_ежемесячно'!AF46:AH46)</f>
        <v>106037759.30046499</v>
      </c>
      <c r="O43" s="64">
        <f>SUM('[13] Коммерческий_ежемесячно'!AI46:AK46)</f>
        <v>123547104.14887999</v>
      </c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5"/>
    </row>
    <row r="44" spans="1:29" ht="16.350000000000001" customHeight="1">
      <c r="B44" s="40" t="s">
        <v>115</v>
      </c>
      <c r="C44" s="39" t="s">
        <v>119</v>
      </c>
      <c r="D44" s="39"/>
      <c r="E44" s="64">
        <f>SUM('[13] Коммерческий_ежемесячно'!E47:G47)</f>
        <v>23995907.8028</v>
      </c>
      <c r="F44" s="64">
        <f>SUM('[13] Коммерческий_ежемесячно'!H47:J47)</f>
        <v>18439982.370299999</v>
      </c>
      <c r="G44" s="64">
        <f>SUM('[13] Коммерческий_ежемесячно'!K47:M47)</f>
        <v>18822433.90484</v>
      </c>
      <c r="H44" s="64">
        <f>SUM('[13] Коммерческий_ежемесячно'!N47:P47)</f>
        <v>20167741.873500001</v>
      </c>
      <c r="I44" s="64">
        <f>SUM('[13] Коммерческий_ежемесячно'!Q47:S47)</f>
        <v>22963103.9133</v>
      </c>
      <c r="J44" s="64">
        <f>SUM('[13] Коммерческий_ежемесячно'!T47:V47)</f>
        <v>21707162.2269</v>
      </c>
      <c r="K44" s="64">
        <f>SUM('[13] Коммерческий_ежемесячно'!W47:Y47)</f>
        <v>25727533.586408</v>
      </c>
      <c r="L44" s="64">
        <f>SUM('[13] Коммерческий_ежемесячно'!Z47:AB47)</f>
        <v>27646594.8605</v>
      </c>
      <c r="M44" s="64">
        <f>SUM('[13] Коммерческий_ежемесячно'!AC47:AE47)</f>
        <v>24818952.821641006</v>
      </c>
      <c r="N44" s="64">
        <f>SUM('[13] Коммерческий_ежемесячно'!AF47:AH47)</f>
        <v>19084784.169953</v>
      </c>
      <c r="O44" s="64">
        <f>SUM('[13] Коммерческий_ежемесячно'!AI47:AK47)</f>
        <v>21290260.904176999</v>
      </c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5"/>
    </row>
    <row r="45" spans="1:29" ht="16.350000000000001" customHeight="1">
      <c r="B45" s="40" t="s">
        <v>116</v>
      </c>
      <c r="C45" s="39" t="s">
        <v>119</v>
      </c>
      <c r="D45" s="39"/>
      <c r="E45" s="64">
        <f>SUM('[13] Коммерческий_ежемесячно'!E48:G48)</f>
        <v>4023405.3530000001</v>
      </c>
      <c r="F45" s="64">
        <f>SUM('[13] Коммерческий_ежемесячно'!H48:J48)</f>
        <v>6493275.2679999992</v>
      </c>
      <c r="G45" s="64">
        <f>SUM('[13] Коммерческий_ежемесячно'!K48:M48)</f>
        <v>7214590.0520000011</v>
      </c>
      <c r="H45" s="64">
        <f>SUM('[13] Коммерческий_ежемесячно'!N48:P48)</f>
        <v>2730988.682</v>
      </c>
      <c r="I45" s="64">
        <f>SUM('[13] Коммерческий_ежемесячно'!Q48:S48)</f>
        <v>3108994.0420000004</v>
      </c>
      <c r="J45" s="64">
        <f>SUM('[13] Коммерческий_ежемесячно'!T48:V48)</f>
        <v>19480300.615099996</v>
      </c>
      <c r="K45" s="64">
        <f>SUM('[13] Коммерческий_ежемесячно'!W48:Y48)</f>
        <v>23239835.330499999</v>
      </c>
      <c r="L45" s="64">
        <f>SUM('[13] Коммерческий_ежемесячно'!Z48:AB48)</f>
        <v>4466666.377799999</v>
      </c>
      <c r="M45" s="64">
        <f>SUM('[13] Коммерческий_ежемесячно'!AC48:AE48)</f>
        <v>4738185.2628245791</v>
      </c>
      <c r="N45" s="64">
        <f>SUM('[13] Коммерческий_ежемесячно'!AF48:AH48)</f>
        <v>4308977.1466999995</v>
      </c>
      <c r="O45" s="64">
        <f>SUM('[13] Коммерческий_ежемесячно'!AI48:AK48)</f>
        <v>3379257.525872</v>
      </c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5"/>
    </row>
    <row r="46" spans="1:29" ht="16.350000000000001" customHeight="1">
      <c r="B46" s="40" t="s">
        <v>117</v>
      </c>
      <c r="C46" s="39" t="s">
        <v>119</v>
      </c>
      <c r="D46" s="39"/>
      <c r="E46" s="64">
        <f>SUM('[13] Коммерческий_ежемесячно'!E49:G49)</f>
        <v>74536907.480000004</v>
      </c>
      <c r="F46" s="64">
        <f>SUM('[13] Коммерческий_ежемесячно'!H49:J49)</f>
        <v>64575059</v>
      </c>
      <c r="G46" s="64">
        <f>SUM('[13] Коммерческий_ежемесячно'!K49:M49)</f>
        <v>69059674.210000008</v>
      </c>
      <c r="H46" s="64">
        <f>SUM('[13] Коммерческий_ежемесячно'!N49:P49)</f>
        <v>72113896.920000002</v>
      </c>
      <c r="I46" s="64">
        <f>SUM('[13] Коммерческий_ежемесячно'!Q49:S49)</f>
        <v>87269926</v>
      </c>
      <c r="J46" s="64">
        <f>SUM('[13] Коммерческий_ежемесячно'!T49:V49)</f>
        <v>88485636.604999989</v>
      </c>
      <c r="K46" s="64">
        <f>SUM('[13] Коммерческий_ежемесячно'!W49:Y49)</f>
        <v>93435680.50999999</v>
      </c>
      <c r="L46" s="64">
        <f>SUM('[13] Коммерческий_ежемесячно'!Z49:AB49)</f>
        <v>99639403.782680005</v>
      </c>
      <c r="M46" s="64">
        <f>SUM('[13] Коммерческий_ежемесячно'!AC49:AE49)</f>
        <v>107877506.7536</v>
      </c>
      <c r="N46" s="64">
        <f>SUM('[13] Коммерческий_ежемесячно'!AF49:AH49)</f>
        <v>122337203.8696</v>
      </c>
      <c r="O46" s="64">
        <f>SUM('[13] Коммерческий_ежемесячно'!AI49:AK49)</f>
        <v>104173782.692</v>
      </c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5"/>
    </row>
    <row r="47" spans="1:29" ht="16.350000000000001" customHeight="1">
      <c r="B47" s="40" t="s">
        <v>118</v>
      </c>
      <c r="C47" s="39" t="s">
        <v>119</v>
      </c>
      <c r="D47" s="39"/>
      <c r="E47" s="64">
        <f>SUM('[13] Коммерческий_ежемесячно'!E50:G50)</f>
        <v>921023.14</v>
      </c>
      <c r="F47" s="64">
        <f>SUM('[13] Коммерческий_ежемесячно'!H50:J50)</f>
        <v>284759.55839999998</v>
      </c>
      <c r="G47" s="64">
        <f>SUM('[13] Коммерческий_ежемесячно'!K50:M50)</f>
        <v>285094.30119999999</v>
      </c>
      <c r="H47" s="64">
        <f>SUM('[13] Коммерческий_ежемесячно'!N50:P50)</f>
        <v>680220.62</v>
      </c>
      <c r="I47" s="64">
        <f>SUM('[13] Коммерческий_ежемесячно'!Q50:S50)</f>
        <v>1009750.47</v>
      </c>
      <c r="J47" s="64">
        <f>SUM('[13] Коммерческий_ежемесячно'!T50:V50)</f>
        <v>672604.01</v>
      </c>
      <c r="K47" s="64">
        <f>SUM('[13] Коммерческий_ежемесячно'!W50:Y50)</f>
        <v>827339.28</v>
      </c>
      <c r="L47" s="64">
        <f>SUM('[13] Коммерческий_ежемесячно'!Z50:AB50)</f>
        <v>1121857.67</v>
      </c>
      <c r="M47" s="64">
        <f>SUM('[13] Коммерческий_ежемесячно'!AC50:AE50)</f>
        <v>1342638.53</v>
      </c>
      <c r="N47" s="64">
        <f>SUM('[13] Коммерческий_ежемесячно'!AF50:AH50)</f>
        <v>836204.55</v>
      </c>
      <c r="O47" s="64">
        <f>SUM('[13] Коммерческий_ежемесячно'!AI50:AK50)</f>
        <v>1018562.4299999999</v>
      </c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5"/>
    </row>
    <row r="48" spans="1:29" ht="16.350000000000001" customHeight="1">
      <c r="B48" s="40" t="s">
        <v>101</v>
      </c>
      <c r="C48" s="39" t="s">
        <v>119</v>
      </c>
      <c r="D48" s="39"/>
      <c r="E48" s="64">
        <f>SUM('[13] Коммерческий_ежемесячно'!E51:G51)</f>
        <v>0</v>
      </c>
      <c r="F48" s="64">
        <f>SUM('[13] Коммерческий_ежемесячно'!H51:J51)</f>
        <v>16554940.821100002</v>
      </c>
      <c r="G48" s="64">
        <f>SUM('[13] Коммерческий_ежемесячно'!K51:M51)</f>
        <v>20195132.52</v>
      </c>
      <c r="H48" s="64">
        <f>SUM('[13] Коммерческий_ежемесячно'!N51:P51)</f>
        <v>17149565.439999998</v>
      </c>
      <c r="I48" s="64">
        <f>SUM('[13] Коммерческий_ежемесячно'!Q51:S51)</f>
        <v>7763421.0854399996</v>
      </c>
      <c r="J48" s="64">
        <f>SUM('[13] Коммерческий_ежемесячно'!T51:V51)</f>
        <v>17162040.810000002</v>
      </c>
      <c r="K48" s="64">
        <f>SUM('[13] Коммерческий_ежемесячно'!W51:Y51)</f>
        <v>24053793.88752</v>
      </c>
      <c r="L48" s="64">
        <f>SUM('[13] Коммерческий_ежемесячно'!Z51:AB51)</f>
        <v>7152572.1259599999</v>
      </c>
      <c r="M48" s="64">
        <f>SUM('[13] Коммерческий_ежемесячно'!AC51:AE51)</f>
        <v>2674157.4184560003</v>
      </c>
      <c r="N48" s="64">
        <f>SUM('[13] Коммерческий_ежемесячно'!AF51:AH51)</f>
        <v>7529388.6699999999</v>
      </c>
      <c r="O48" s="64">
        <f>SUM('[13] Коммерческий_ежемесячно'!AI51:AK51)</f>
        <v>15247373.440000001</v>
      </c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5"/>
    </row>
    <row r="49" spans="1:29" ht="16.350000000000001" customHeight="1">
      <c r="B49" s="40" t="s">
        <v>86</v>
      </c>
      <c r="C49" s="39" t="s">
        <v>119</v>
      </c>
      <c r="D49" s="39"/>
      <c r="E49" s="64">
        <f>SUM('[13] Коммерческий_ежемесячно'!E52:G52)</f>
        <v>536590612.41149998</v>
      </c>
      <c r="F49" s="64">
        <f>SUM('[13] Коммерческий_ежемесячно'!H52:J52)</f>
        <v>293993549.75070167</v>
      </c>
      <c r="G49" s="64">
        <f>SUM('[13] Коммерческий_ежемесячно'!K52:M52)</f>
        <v>283804380.81040001</v>
      </c>
      <c r="H49" s="64">
        <f>SUM('[13] Коммерческий_ежемесячно'!N52:P52)</f>
        <v>436264406.37160003</v>
      </c>
      <c r="I49" s="64">
        <f>SUM('[13] Коммерческий_ежемесячно'!Q52:S52)</f>
        <v>617882104.07700014</v>
      </c>
      <c r="J49" s="64">
        <f>SUM('[13] Коммерческий_ежемесячно'!T52:V52)</f>
        <v>354819633.75743401</v>
      </c>
      <c r="K49" s="64">
        <f>SUM('[13] Коммерческий_ежемесячно'!W52:Y52)</f>
        <v>372532913.569803</v>
      </c>
      <c r="L49" s="64">
        <f>SUM('[13] Коммерческий_ежемесячно'!Z52:AB52)</f>
        <v>586592147.163643</v>
      </c>
      <c r="M49" s="64">
        <f>SUM('[13] Коммерческий_ежемесячно'!AC52:AE52)</f>
        <v>694156193.01377511</v>
      </c>
      <c r="N49" s="64">
        <f>SUM('[13] Коммерческий_ежемесячно'!AF52:AH52)</f>
        <v>492119285.72988302</v>
      </c>
      <c r="O49" s="64">
        <f>SUM('[13] Коммерческий_ежемесячно'!AI52:AK52)</f>
        <v>540556674.49548197</v>
      </c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5"/>
    </row>
    <row r="50" spans="1:29" ht="16.350000000000001" customHeight="1">
      <c r="B50" s="40" t="s">
        <v>2</v>
      </c>
      <c r="C50" s="39" t="s">
        <v>119</v>
      </c>
      <c r="D50" s="39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5"/>
    </row>
    <row r="51" spans="1:29" ht="16.350000000000001" customHeight="1">
      <c r="B51" s="41" t="s">
        <v>108</v>
      </c>
      <c r="C51" s="39" t="s">
        <v>119</v>
      </c>
      <c r="D51" s="39"/>
      <c r="E51" s="66">
        <f>SUBTOTAL(9,E39:E49)</f>
        <v>1172687442.010726</v>
      </c>
      <c r="F51" s="66">
        <f t="shared" ref="F51:N51" si="16">SUBTOTAL(9,F39:F49)</f>
        <v>953853574.01147664</v>
      </c>
      <c r="G51" s="66">
        <f t="shared" si="16"/>
        <v>1025683535.0552062</v>
      </c>
      <c r="H51" s="66">
        <f t="shared" si="16"/>
        <v>1148384813.2952499</v>
      </c>
      <c r="I51" s="66">
        <f t="shared" si="16"/>
        <v>1424667849.2652044</v>
      </c>
      <c r="J51" s="66">
        <f t="shared" si="16"/>
        <v>1185245430.5481181</v>
      </c>
      <c r="K51" s="66">
        <f t="shared" si="16"/>
        <v>1357225424.3806994</v>
      </c>
      <c r="L51" s="66">
        <f t="shared" si="16"/>
        <v>1558652334.3390479</v>
      </c>
      <c r="M51" s="66">
        <f t="shared" si="16"/>
        <v>1661449101.8753986</v>
      </c>
      <c r="N51" s="66">
        <f t="shared" si="16"/>
        <v>1683009351.5622869</v>
      </c>
      <c r="O51" s="66">
        <f>SUBTOTAL(9,O39:O49)</f>
        <v>1890843504.1878619</v>
      </c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5"/>
    </row>
    <row r="52" spans="1:29" s="27" customFormat="1" ht="16.350000000000001" customHeight="1">
      <c r="B52" s="32"/>
      <c r="C52" s="28"/>
      <c r="D52" s="28"/>
    </row>
    <row r="53" spans="1:29" s="26" customFormat="1" ht="15.75" customHeight="1" thickBot="1">
      <c r="A53" s="25" t="s">
        <v>97</v>
      </c>
      <c r="B53" s="20"/>
      <c r="C53" s="20" t="s">
        <v>20</v>
      </c>
      <c r="D53" s="20" t="s">
        <v>21</v>
      </c>
      <c r="E53" s="1" t="s">
        <v>16</v>
      </c>
      <c r="F53" s="2" t="s">
        <v>17</v>
      </c>
      <c r="G53" s="1" t="s">
        <v>18</v>
      </c>
      <c r="H53" s="2" t="s">
        <v>19</v>
      </c>
      <c r="I53" s="1" t="s">
        <v>73</v>
      </c>
      <c r="J53" s="2" t="s">
        <v>74</v>
      </c>
      <c r="K53" s="1" t="s">
        <v>71</v>
      </c>
      <c r="L53" s="1" t="s">
        <v>72</v>
      </c>
      <c r="M53" s="1" t="s">
        <v>158</v>
      </c>
      <c r="N53" s="68" t="s">
        <v>159</v>
      </c>
      <c r="O53" s="68" t="s">
        <v>162</v>
      </c>
    </row>
    <row r="54" spans="1:29" ht="16.350000000000001" customHeight="1">
      <c r="B54" s="44" t="s">
        <v>111</v>
      </c>
      <c r="C54" s="9" t="s">
        <v>110</v>
      </c>
      <c r="D54" s="37"/>
      <c r="E54" s="64">
        <f>SUM('[13] Коммерческий_ежемесячно'!E57:G57)</f>
        <v>361185955.49000001</v>
      </c>
      <c r="F54" s="64">
        <f>SUM('[13] Коммерческий_ежемесячно'!H57:J57)</f>
        <v>420852295.09000003</v>
      </c>
      <c r="G54" s="64">
        <f>SUM('[13] Коммерческий_ежемесячно'!K57:M57)</f>
        <v>474349279.56999993</v>
      </c>
      <c r="H54" s="64">
        <f>SUM('[13] Коммерческий_ежемесячно'!N57:P57)</f>
        <v>542971600.19199991</v>
      </c>
      <c r="I54" s="64">
        <f>SUM('[13] Коммерческий_ежемесячно'!Q57:S57)</f>
        <v>579847016.65999997</v>
      </c>
      <c r="J54" s="64">
        <f>SUM('[13] Коммерческий_ежемесячно'!T57:V57)</f>
        <v>535200863.05999994</v>
      </c>
      <c r="K54" s="64">
        <f>SUM('[13] Коммерческий_ежемесячно'!W57:Y57)</f>
        <v>683353776.67144704</v>
      </c>
      <c r="L54" s="64">
        <f>SUM('[13] Коммерческий_ежемесячно'!Z57:AB57)</f>
        <v>670789488.02200007</v>
      </c>
      <c r="M54" s="64">
        <f>SUM('[13] Коммерческий_ежемесячно'!AC57:AE57)</f>
        <v>663172462.35477293</v>
      </c>
      <c r="N54" s="64">
        <f>SUM('[13] Коммерческий_ежемесячно'!AF57:AH57)</f>
        <v>810260049.69726014</v>
      </c>
      <c r="O54" s="64">
        <f>SUM('[13] Коммерческий_ежемесячно'!AI57:AK57)</f>
        <v>994532286.12210894</v>
      </c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5"/>
    </row>
    <row r="55" spans="1:29" ht="16.350000000000001" customHeight="1">
      <c r="B55" s="40" t="s">
        <v>112</v>
      </c>
      <c r="C55" s="9" t="s">
        <v>110</v>
      </c>
      <c r="D55" s="39"/>
      <c r="E55" s="64">
        <f>SUM('[13] Коммерческий_ежемесячно'!E58:G58)</f>
        <v>877191.23</v>
      </c>
      <c r="F55" s="64">
        <f>SUM('[13] Коммерческий_ежемесячно'!H58:J58)</f>
        <v>471951.79999999981</v>
      </c>
      <c r="G55" s="64">
        <f>SUM('[13] Коммерческий_ежемесячно'!K58:M58)</f>
        <v>119830.28000000041</v>
      </c>
      <c r="H55" s="64">
        <f>SUM('[13] Коммерческий_ежемесячно'!N58:P58)</f>
        <v>990804.17</v>
      </c>
      <c r="I55" s="64">
        <f>SUM('[13] Коммерческий_ежемесячно'!Q58:S58)</f>
        <v>623569.95999999903</v>
      </c>
      <c r="J55" s="64">
        <f>SUM('[13] Коммерческий_ежемесячно'!T58:V58)</f>
        <v>460714.43000000139</v>
      </c>
      <c r="K55" s="64">
        <f>SUM('[13] Коммерческий_ежемесячно'!W58:Y58)</f>
        <v>228844.70000000007</v>
      </c>
      <c r="L55" s="64">
        <f>SUM('[13] Коммерческий_ежемесячно'!Z58:AB58)</f>
        <v>1872866.5008399999</v>
      </c>
      <c r="M55" s="64">
        <f>SUM('[13] Коммерческий_ежемесячно'!AC58:AE58)</f>
        <v>725409.56</v>
      </c>
      <c r="N55" s="64">
        <f>SUM('[13] Коммерческий_ежемесячно'!AF58:AH58)</f>
        <v>433347.38999999734</v>
      </c>
      <c r="O55" s="64">
        <f>SUM('[13] Коммерческий_ежемесячно'!AI58:AK58)</f>
        <v>277700.44471000135</v>
      </c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5"/>
    </row>
    <row r="56" spans="1:29" ht="16.350000000000001" customHeight="1">
      <c r="B56" s="40" t="s">
        <v>113</v>
      </c>
      <c r="C56" s="9" t="s">
        <v>110</v>
      </c>
      <c r="D56" s="39"/>
      <c r="E56" s="64">
        <f>SUM('[13] Коммерческий_ежемесячно'!E59:G59)</f>
        <v>2539624.19</v>
      </c>
      <c r="F56" s="64">
        <f>SUM('[13] Коммерческий_ежемесячно'!H59:J59)</f>
        <v>1534126.1</v>
      </c>
      <c r="G56" s="64">
        <f>SUM('[13] Коммерческий_ежемесячно'!K59:M59)</f>
        <v>2611790.9</v>
      </c>
      <c r="H56" s="64">
        <f>SUM('[13] Коммерческий_ежемесячно'!N59:P59)</f>
        <v>2191000.56</v>
      </c>
      <c r="I56" s="64">
        <f>SUM('[13] Коммерческий_ежемесячно'!Q59:S59)</f>
        <v>2641932.35</v>
      </c>
      <c r="J56" s="64">
        <f>SUM('[13] Коммерческий_ежемесячно'!T59:V59)</f>
        <v>1767218.5699999998</v>
      </c>
      <c r="K56" s="64">
        <f>SUM('[13] Коммерческий_ежемесячно'!W59:Y59)</f>
        <v>1326371.5</v>
      </c>
      <c r="L56" s="64">
        <f>SUM('[13] Коммерческий_ежемесячно'!Z59:AB59)</f>
        <v>46699457.918999992</v>
      </c>
      <c r="M56" s="64">
        <f>SUM('[13] Коммерческий_ежемесячно'!AC59:AE59)</f>
        <v>3239745.1293580001</v>
      </c>
      <c r="N56" s="64">
        <f>SUM('[13] Коммерческий_ежемесячно'!AF59:AH59)</f>
        <v>2089668.1790399998</v>
      </c>
      <c r="O56" s="64">
        <f>SUM('[13] Коммерческий_ежемесячно'!AI59:AK59)</f>
        <v>2358832.1943549998</v>
      </c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5"/>
    </row>
    <row r="57" spans="1:29" ht="16.350000000000001" customHeight="1">
      <c r="B57" s="40" t="s">
        <v>114</v>
      </c>
      <c r="C57" s="9" t="s">
        <v>110</v>
      </c>
      <c r="D57" s="39"/>
      <c r="E57" s="64">
        <f>SUM('[13] Коммерческий_ежемесячно'!E60:G60)</f>
        <v>71917394.189999998</v>
      </c>
      <c r="F57" s="64">
        <f>SUM('[13] Коммерческий_ежемесячно'!H60:J60)</f>
        <v>32906457.73</v>
      </c>
      <c r="G57" s="64">
        <f>SUM('[13] Коммерческий_ежемесячно'!K60:M60)</f>
        <v>31798124.310000002</v>
      </c>
      <c r="H57" s="64">
        <f>SUM('[13] Коммерческий_ежемесячно'!N60:P60)</f>
        <v>53951004.68</v>
      </c>
      <c r="I57" s="64">
        <f>SUM('[13] Коммерческий_ежемесячно'!Q60:S60)</f>
        <v>34165056.32</v>
      </c>
      <c r="J57" s="64">
        <f>SUM('[13] Коммерческий_ежемесячно'!T60:V60)</f>
        <v>41682342.109999999</v>
      </c>
      <c r="K57" s="64">
        <f>SUM('[13] Коммерческий_ежемесячно'!W60:Y60)</f>
        <v>37415661.25</v>
      </c>
      <c r="L57" s="64">
        <f>SUM('[13] Коммерческий_ежемесячно'!Z60:AB60)</f>
        <v>81565374.529999986</v>
      </c>
      <c r="M57" s="64">
        <f>SUM('[13] Коммерческий_ежемесячно'!AC60:AE60)</f>
        <v>38745056.087150998</v>
      </c>
      <c r="N57" s="64">
        <f>SUM('[13] Коммерческий_ежемесячно'!AF60:AH60)</f>
        <v>49349814.225288004</v>
      </c>
      <c r="O57" s="64">
        <f>SUM('[13] Коммерческий_ежемесячно'!AI60:AK60)</f>
        <v>39263105.983925</v>
      </c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5"/>
    </row>
    <row r="58" spans="1:29" ht="16.350000000000001" customHeight="1">
      <c r="B58" s="40" t="s">
        <v>85</v>
      </c>
      <c r="C58" s="9" t="s">
        <v>110</v>
      </c>
      <c r="D58" s="39"/>
      <c r="E58" s="64">
        <f>SUM('[13] Коммерческий_ежемесячно'!E61:G61)</f>
        <v>334237491.47999996</v>
      </c>
      <c r="F58" s="64">
        <f>SUM('[13] Коммерческий_ежемесячно'!H61:J61)</f>
        <v>35240095.43</v>
      </c>
      <c r="G58" s="64">
        <f>SUM('[13] Коммерческий_ежемесячно'!K61:M61)</f>
        <v>38482907.900000006</v>
      </c>
      <c r="H58" s="64">
        <f>SUM('[13] Коммерческий_ежемесячно'!N61:P61)</f>
        <v>19918389.73</v>
      </c>
      <c r="I58" s="64">
        <f>SUM('[13] Коммерческий_ежемесячно'!Q61:S61)</f>
        <v>10304627.9</v>
      </c>
      <c r="J58" s="64">
        <f>SUM('[13] Коммерческий_ежемесячно'!T61:V61)</f>
        <v>32817760.850000001</v>
      </c>
      <c r="K58" s="64">
        <f>SUM('[13] Коммерческий_ежемесячно'!W61:Y61)</f>
        <v>60290928.730000004</v>
      </c>
      <c r="L58" s="64">
        <f>SUM('[13] Коммерческий_ежемесячно'!Z61:AB61)</f>
        <v>14791326.67</v>
      </c>
      <c r="M58" s="64">
        <f>SUM('[13] Коммерческий_ежемесячно'!AC61:AE61)</f>
        <v>12164412.41</v>
      </c>
      <c r="N58" s="64">
        <f>SUM('[13] Коммерческий_ежемесячно'!AF61:AH61)</f>
        <v>37424878.950002</v>
      </c>
      <c r="O58" s="64">
        <f>SUM('[13] Коммерческий_ежемесячно'!AI61:AK61)</f>
        <v>49636094.629712</v>
      </c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5"/>
    </row>
    <row r="59" spans="1:29" ht="16.350000000000001" customHeight="1">
      <c r="B59" s="40" t="s">
        <v>115</v>
      </c>
      <c r="C59" s="9" t="s">
        <v>110</v>
      </c>
      <c r="D59" s="39"/>
      <c r="E59" s="64">
        <f>SUM('[13] Коммерческий_ежемесячно'!E62:G62)</f>
        <v>6846162.3299999991</v>
      </c>
      <c r="F59" s="64">
        <f>SUM('[13] Коммерческий_ежемесячно'!H62:J62)</f>
        <v>10256585.16</v>
      </c>
      <c r="G59" s="64">
        <f>SUM('[13] Коммерческий_ежемесячно'!K62:M62)</f>
        <v>7152755.6899999995</v>
      </c>
      <c r="H59" s="64">
        <f>SUM('[13] Коммерческий_ежемесячно'!N62:P62)</f>
        <v>9363683.0600000005</v>
      </c>
      <c r="I59" s="64">
        <f>SUM('[13] Коммерческий_ежемесячно'!Q62:S62)</f>
        <v>7493085.9000000004</v>
      </c>
      <c r="J59" s="64">
        <f>SUM('[13] Коммерческий_ежемесячно'!T62:V62)</f>
        <v>11822474.690000001</v>
      </c>
      <c r="K59" s="64">
        <f>SUM('[13] Коммерческий_ежемесячно'!W62:Y62)</f>
        <v>22858790.329999998</v>
      </c>
      <c r="L59" s="64">
        <f>SUM('[13] Коммерческий_ежемесячно'!Z62:AB62)</f>
        <v>13979169.605999999</v>
      </c>
      <c r="M59" s="64">
        <f>SUM('[13] Коммерческий_ежемесячно'!AC62:AE62)</f>
        <v>11545162.36507</v>
      </c>
      <c r="N59" s="64">
        <f>SUM('[13] Коммерческий_ежемесячно'!AF62:AH62)</f>
        <v>11185668.467793001</v>
      </c>
      <c r="O59" s="64">
        <f>SUM('[13] Коммерческий_ежемесячно'!AI62:AK62)</f>
        <v>15248310.551477</v>
      </c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5"/>
    </row>
    <row r="60" spans="1:29" ht="16.350000000000001" customHeight="1">
      <c r="B60" s="40" t="s">
        <v>116</v>
      </c>
      <c r="C60" s="9" t="s">
        <v>110</v>
      </c>
      <c r="D60" s="39"/>
      <c r="E60" s="64">
        <f>SUM('[13] Коммерческий_ежемесячно'!E63:G63)</f>
        <v>139418614.25999999</v>
      </c>
      <c r="F60" s="64">
        <f>SUM('[13] Коммерческий_ежемесячно'!H63:J63)</f>
        <v>1697295.98</v>
      </c>
      <c r="G60" s="64">
        <f>SUM('[13] Коммерческий_ежемесячно'!K63:M63)</f>
        <v>531198.97</v>
      </c>
      <c r="H60" s="64">
        <f>SUM('[13] Коммерческий_ежемесячно'!N63:P63)</f>
        <v>643451.35</v>
      </c>
      <c r="I60" s="64">
        <f>SUM('[13] Коммерческий_ежемесячно'!Q63:S63)</f>
        <v>586344.47</v>
      </c>
      <c r="J60" s="64">
        <f>SUM('[13] Коммерческий_ежемесячно'!T63:V63)</f>
        <v>3807824.7399999998</v>
      </c>
      <c r="K60" s="64">
        <f>SUM('[13] Коммерческий_ежемесячно'!W63:Y63)</f>
        <v>3419098.1200000006</v>
      </c>
      <c r="L60" s="64">
        <f>SUM('[13] Коммерческий_ежемесячно'!Z63:AB63)</f>
        <v>3479892.1999999997</v>
      </c>
      <c r="M60" s="64">
        <f>SUM('[13] Коммерческий_ежемесячно'!AC63:AE63)</f>
        <v>2423050.29</v>
      </c>
      <c r="N60" s="64">
        <f>SUM('[13] Коммерческий_ежемесячно'!AF63:AH63)</f>
        <v>2374665.27</v>
      </c>
      <c r="O60" s="64">
        <f>SUM('[13] Коммерческий_ежемесячно'!AI63:AK63)</f>
        <v>1825765.0070720001</v>
      </c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5"/>
    </row>
    <row r="61" spans="1:29" ht="16.350000000000001" customHeight="1">
      <c r="B61" s="40" t="s">
        <v>117</v>
      </c>
      <c r="C61" s="9" t="s">
        <v>110</v>
      </c>
      <c r="D61" s="39"/>
      <c r="E61" s="64">
        <f>SUM('[13] Коммерческий_ежемесячно'!E64:G64)</f>
        <v>0</v>
      </c>
      <c r="F61" s="64">
        <f>SUM('[13] Коммерческий_ежемесячно'!H64:J64)</f>
        <v>0</v>
      </c>
      <c r="G61" s="64">
        <f>SUM('[13] Коммерческий_ежемесячно'!K64:M64)</f>
        <v>47000000</v>
      </c>
      <c r="H61" s="64">
        <f>SUM('[13] Коммерческий_ежемесячно'!N64:P64)</f>
        <v>18000000</v>
      </c>
      <c r="I61" s="64">
        <f>SUM('[13] Коммерческий_ежемесячно'!Q64:S64)</f>
        <v>22000000</v>
      </c>
      <c r="J61" s="64">
        <f>SUM('[13] Коммерческий_ежемесячно'!T64:V64)</f>
        <v>13000000</v>
      </c>
      <c r="K61" s="64">
        <f>SUM('[13] Коммерческий_ежемесячно'!W64:Y64)</f>
        <v>99000000</v>
      </c>
      <c r="L61" s="64">
        <f>SUM('[13] Коммерческий_ежемесячно'!Z64:AB64)</f>
        <v>14500000</v>
      </c>
      <c r="M61" s="64">
        <f>SUM('[13] Коммерческий_ежемесячно'!AC64:AE64)</f>
        <v>57313000</v>
      </c>
      <c r="N61" s="64">
        <f>SUM('[13] Коммерческий_ежемесячно'!AF64:AH64)</f>
        <v>27000000</v>
      </c>
      <c r="O61" s="64">
        <f>SUM('[13] Коммерческий_ежемесячно'!AI64:AK64)</f>
        <v>12693655</v>
      </c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5"/>
    </row>
    <row r="62" spans="1:29" ht="16.350000000000001" customHeight="1">
      <c r="B62" s="40" t="s">
        <v>118</v>
      </c>
      <c r="C62" s="9" t="s">
        <v>110</v>
      </c>
      <c r="D62" s="39"/>
      <c r="E62" s="64">
        <f>SUM('[13] Коммерческий_ежемесячно'!E65:G65)</f>
        <v>0</v>
      </c>
      <c r="F62" s="64">
        <f>SUM('[13] Коммерческий_ежемесячно'!H65:J65)</f>
        <v>500000</v>
      </c>
      <c r="G62" s="64">
        <f>SUM('[13] Коммерческий_ежемесячно'!K65:M65)</f>
        <v>400000</v>
      </c>
      <c r="H62" s="64">
        <f>SUM('[13] Коммерческий_ежемесячно'!N65:P65)</f>
        <v>692085.37</v>
      </c>
      <c r="I62" s="64">
        <f>SUM('[13] Коммерческий_ежемесячно'!Q65:S65)</f>
        <v>588462.44999999995</v>
      </c>
      <c r="J62" s="64">
        <f>SUM('[13] Коммерческий_ежемесячно'!T65:V65)</f>
        <v>199459.6</v>
      </c>
      <c r="K62" s="64">
        <f>SUM('[13] Коммерческий_ежемесячно'!W65:Y65)</f>
        <v>230000</v>
      </c>
      <c r="L62" s="64">
        <f>SUM('[13] Коммерческий_ежемесячно'!Z65:AB65)</f>
        <v>69223.899999999994</v>
      </c>
      <c r="M62" s="64">
        <f>SUM('[13] Коммерческий_ежемесячно'!AC65:AE65)</f>
        <v>600000</v>
      </c>
      <c r="N62" s="64">
        <f>SUM('[13] Коммерческий_ежемесячно'!AF65:AH65)</f>
        <v>900000</v>
      </c>
      <c r="O62" s="64">
        <f>SUM('[13] Коммерческий_ежемесячно'!AI65:AK65)</f>
        <v>300000</v>
      </c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5"/>
    </row>
    <row r="63" spans="1:29" ht="16.350000000000001" customHeight="1">
      <c r="B63" s="40" t="s">
        <v>101</v>
      </c>
      <c r="C63" s="9" t="s">
        <v>110</v>
      </c>
      <c r="D63" s="39"/>
      <c r="E63" s="64">
        <f>SUM('[13] Коммерческий_ежемесячно'!E66:G66)</f>
        <v>0</v>
      </c>
      <c r="F63" s="64">
        <f>SUM('[13] Коммерческий_ежемесячно'!H66:J66)</f>
        <v>9316293.1199999992</v>
      </c>
      <c r="G63" s="64">
        <f>SUM('[13] Коммерческий_ежемесячно'!K66:M66)</f>
        <v>13036347.059999999</v>
      </c>
      <c r="H63" s="64">
        <f>SUM('[13] Коммерческий_ежемесячно'!N66:P66)</f>
        <v>0</v>
      </c>
      <c r="I63" s="64">
        <f>SUM('[13] Коммерческий_ежемесячно'!Q66:S66)</f>
        <v>17100000</v>
      </c>
      <c r="J63" s="64">
        <f>SUM('[13] Коммерческий_ежемесячно'!T66:V66)</f>
        <v>13900000</v>
      </c>
      <c r="K63" s="64">
        <f>SUM('[13] Коммерческий_ежемесячно'!W66:Y66)</f>
        <v>4500000</v>
      </c>
      <c r="L63" s="64">
        <f>SUM('[13] Коммерческий_ежемесячно'!Z66:AB66)</f>
        <v>11200000</v>
      </c>
      <c r="M63" s="64">
        <f>SUM('[13] Коммерческий_ежемесячно'!AC66:AE66)</f>
        <v>8152300</v>
      </c>
      <c r="N63" s="64">
        <f>SUM('[13] Коммерческий_ежемесячно'!AF66:AH66)</f>
        <v>39636241</v>
      </c>
      <c r="O63" s="64">
        <f>SUM('[13] Коммерческий_ежемесячно'!AI66:AK66)</f>
        <v>15321581</v>
      </c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5"/>
    </row>
    <row r="64" spans="1:29" ht="16.350000000000001" customHeight="1">
      <c r="B64" s="40" t="s">
        <v>86</v>
      </c>
      <c r="C64" s="9" t="s">
        <v>110</v>
      </c>
      <c r="D64" s="39"/>
      <c r="E64" s="64">
        <f>SUM('[13] Коммерческий_ежемесячно'!E67:G67)</f>
        <v>515626800.41000003</v>
      </c>
      <c r="F64" s="64">
        <f>SUM('[13] Коммерческий_ежемесячно'!H67:J67)</f>
        <v>309716193.69</v>
      </c>
      <c r="G64" s="64">
        <f>SUM('[13] Коммерческий_ежемесячно'!K67:M67)</f>
        <v>275767728.15000004</v>
      </c>
      <c r="H64" s="64">
        <f>SUM('[13] Коммерческий_ежемесячно'!N67:P67)</f>
        <v>348046001.87</v>
      </c>
      <c r="I64" s="64">
        <f>SUM('[13] Коммерческий_ежемесячно'!Q67:S67)</f>
        <v>540761645.9920001</v>
      </c>
      <c r="J64" s="64">
        <f>SUM('[13] Коммерческий_ежемесячно'!T67:V67)</f>
        <v>396032391.90742499</v>
      </c>
      <c r="K64" s="64">
        <f>SUM('[13] Коммерческий_ежемесячно'!W67:Y67)</f>
        <v>399164590.72599995</v>
      </c>
      <c r="L64" s="64">
        <f>SUM('[13] Коммерческий_ежемесячно'!Z67:AB67)</f>
        <v>446307902.14599997</v>
      </c>
      <c r="M64" s="64">
        <f>SUM('[13] Коммерческий_ежемесячно'!AC67:AE67)</f>
        <v>681417661.52301097</v>
      </c>
      <c r="N64" s="64">
        <f>SUM('[13] Коммерческий_ежемесячно'!AF67:AH67)</f>
        <v>542397412.23760307</v>
      </c>
      <c r="O64" s="64">
        <f>SUM('[13] Коммерческий_ежемесячно'!AI67:AK67)</f>
        <v>580740549.13979387</v>
      </c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5"/>
    </row>
    <row r="65" spans="1:29" ht="16.350000000000001" customHeight="1">
      <c r="B65" s="40" t="s">
        <v>2</v>
      </c>
      <c r="C65" s="9" t="s">
        <v>110</v>
      </c>
      <c r="D65" s="39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5"/>
    </row>
    <row r="66" spans="1:29" s="27" customFormat="1" ht="16.350000000000001" customHeight="1">
      <c r="B66" s="29" t="s">
        <v>3</v>
      </c>
      <c r="C66" s="28" t="s">
        <v>65</v>
      </c>
      <c r="D66" s="28"/>
      <c r="E66" s="70">
        <f>SUM(E54:E65)</f>
        <v>1432649233.5799999</v>
      </c>
      <c r="F66" s="70">
        <f>SUM(F54:F65)</f>
        <v>822491294.10000014</v>
      </c>
      <c r="G66" s="70">
        <f t="shared" ref="G66:N66" si="17">SUM(G54:G65)</f>
        <v>891249962.82999992</v>
      </c>
      <c r="H66" s="70">
        <f t="shared" si="17"/>
        <v>996768020.98199975</v>
      </c>
      <c r="I66" s="70">
        <f t="shared" si="17"/>
        <v>1216111742.0020003</v>
      </c>
      <c r="J66" s="70">
        <f t="shared" si="17"/>
        <v>1050691049.9574251</v>
      </c>
      <c r="K66" s="70">
        <f t="shared" si="17"/>
        <v>1311788062.0274472</v>
      </c>
      <c r="L66" s="70">
        <f t="shared" si="17"/>
        <v>1305254701.49384</v>
      </c>
      <c r="M66" s="70">
        <f t="shared" si="17"/>
        <v>1479498259.7193627</v>
      </c>
      <c r="N66" s="70">
        <f t="shared" si="17"/>
        <v>1523051745.416986</v>
      </c>
      <c r="O66" s="70">
        <f>SUM(O54:O65)</f>
        <v>1712197880.0731537</v>
      </c>
    </row>
    <row r="67" spans="1:29" s="27" customFormat="1" ht="16.350000000000001" customHeight="1">
      <c r="B67" s="32"/>
      <c r="C67" s="28"/>
      <c r="D67" s="28"/>
    </row>
    <row r="68" spans="1:29" s="26" customFormat="1" ht="15.75" customHeight="1" thickBot="1">
      <c r="A68" s="25" t="s">
        <v>5</v>
      </c>
      <c r="B68" s="20"/>
      <c r="C68" s="20" t="s">
        <v>20</v>
      </c>
      <c r="D68" s="20" t="s">
        <v>21</v>
      </c>
      <c r="E68" s="1" t="s">
        <v>16</v>
      </c>
      <c r="F68" s="2" t="s">
        <v>17</v>
      </c>
      <c r="G68" s="1" t="s">
        <v>18</v>
      </c>
      <c r="H68" s="2" t="s">
        <v>19</v>
      </c>
      <c r="I68" s="1" t="s">
        <v>73</v>
      </c>
      <c r="J68" s="2" t="s">
        <v>74</v>
      </c>
      <c r="K68" s="1" t="s">
        <v>71</v>
      </c>
      <c r="L68" s="1" t="s">
        <v>72</v>
      </c>
      <c r="M68" s="1" t="s">
        <v>158</v>
      </c>
      <c r="N68" s="68" t="s">
        <v>159</v>
      </c>
      <c r="O68" s="68" t="s">
        <v>162</v>
      </c>
    </row>
    <row r="69" spans="1:29" ht="16.350000000000001" customHeight="1">
      <c r="B69" s="44" t="s">
        <v>111</v>
      </c>
      <c r="C69" s="9" t="s">
        <v>110</v>
      </c>
      <c r="D69" s="37"/>
      <c r="E69" s="38">
        <f>E54/E39</f>
        <v>0.81809720274531206</v>
      </c>
      <c r="F69" s="38">
        <f>F54/F39</f>
        <v>0.96642167854906413</v>
      </c>
      <c r="G69" s="38">
        <f t="shared" ref="G69:M79" si="18">G54/G39</f>
        <v>0.96031219373153798</v>
      </c>
      <c r="H69" s="38">
        <f t="shared" si="18"/>
        <v>1.0352119964131739</v>
      </c>
      <c r="I69" s="38">
        <f t="shared" si="18"/>
        <v>0.97915123997377274</v>
      </c>
      <c r="J69" s="38">
        <f t="shared" si="18"/>
        <v>0.9368428866886811</v>
      </c>
      <c r="K69" s="38">
        <f t="shared" si="18"/>
        <v>1.0116351475978644</v>
      </c>
      <c r="L69" s="38">
        <f t="shared" si="18"/>
        <v>0.90694542583176785</v>
      </c>
      <c r="M69" s="38">
        <f t="shared" si="18"/>
        <v>0.91828587592605149</v>
      </c>
      <c r="N69" s="38">
        <f t="shared" ref="N69:O69" si="19">N54/N39</f>
        <v>0.92538777388710058</v>
      </c>
      <c r="O69" s="38">
        <f t="shared" si="19"/>
        <v>0.97083905836034567</v>
      </c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5"/>
    </row>
    <row r="70" spans="1:29" ht="16.350000000000001" customHeight="1">
      <c r="B70" s="40" t="s">
        <v>112</v>
      </c>
      <c r="C70" s="9" t="s">
        <v>110</v>
      </c>
      <c r="D70" s="39"/>
      <c r="E70" s="38">
        <f t="shared" ref="E70:F81" si="20">E55/E40</f>
        <v>0.33074141990764522</v>
      </c>
      <c r="F70" s="38">
        <f t="shared" si="20"/>
        <v>0.82273454113755196</v>
      </c>
      <c r="G70" s="38">
        <f t="shared" ref="G70:L70" si="21">G55/G40</f>
        <v>0.59907926786075172</v>
      </c>
      <c r="H70" s="38">
        <f t="shared" si="21"/>
        <v>0.60604494712944046</v>
      </c>
      <c r="I70" s="38">
        <f t="shared" si="21"/>
        <v>0.37371016108410177</v>
      </c>
      <c r="J70" s="38">
        <f t="shared" si="21"/>
        <v>0.7386647207787167</v>
      </c>
      <c r="K70" s="38">
        <f t="shared" si="21"/>
        <v>0.6848727589470236</v>
      </c>
      <c r="L70" s="38">
        <f t="shared" si="21"/>
        <v>0.80654346107082475</v>
      </c>
      <c r="M70" s="38">
        <f t="shared" si="18"/>
        <v>0.28368464296583035</v>
      </c>
      <c r="N70" s="38">
        <f t="shared" ref="N70:O70" si="22">N55/N40</f>
        <v>0.92069317521420635</v>
      </c>
      <c r="O70" s="38">
        <f t="shared" si="22"/>
        <v>0.45239846394504346</v>
      </c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5"/>
    </row>
    <row r="71" spans="1:29" ht="16.350000000000001" customHeight="1">
      <c r="B71" s="40" t="s">
        <v>113</v>
      </c>
      <c r="C71" s="9" t="s">
        <v>110</v>
      </c>
      <c r="D71" s="39"/>
      <c r="E71" s="38">
        <f t="shared" si="20"/>
        <v>0.7232750331399852</v>
      </c>
      <c r="F71" s="38">
        <f t="shared" si="20"/>
        <v>0.83660324707929357</v>
      </c>
      <c r="G71" s="38">
        <f t="shared" ref="G71:L71" si="23">G56/G41</f>
        <v>1.0622808815372478</v>
      </c>
      <c r="H71" s="38">
        <f t="shared" si="23"/>
        <v>0.80185202507029296</v>
      </c>
      <c r="I71" s="38">
        <f t="shared" si="23"/>
        <v>0.81186366113013053</v>
      </c>
      <c r="J71" s="38">
        <f t="shared" si="23"/>
        <v>0.93806055335298788</v>
      </c>
      <c r="K71" s="38">
        <f t="shared" si="23"/>
        <v>0.64398518543248318</v>
      </c>
      <c r="L71" s="38">
        <f t="shared" si="23"/>
        <v>13.198359645160178</v>
      </c>
      <c r="M71" s="38">
        <f t="shared" si="18"/>
        <v>0.81742960867477632</v>
      </c>
      <c r="N71" s="38">
        <f t="shared" ref="N71:O71" si="24">N56/N41</f>
        <v>0.82799007047711193</v>
      </c>
      <c r="O71" s="38">
        <f t="shared" si="24"/>
        <v>0.71958654313378112</v>
      </c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5"/>
    </row>
    <row r="72" spans="1:29" ht="16.350000000000001" customHeight="1">
      <c r="B72" s="40" t="s">
        <v>114</v>
      </c>
      <c r="C72" s="9" t="s">
        <v>110</v>
      </c>
      <c r="D72" s="39"/>
      <c r="E72" s="38">
        <f t="shared" si="20"/>
        <v>1.093310674262139</v>
      </c>
      <c r="F72" s="38">
        <f t="shared" si="20"/>
        <v>0.97605801198641284</v>
      </c>
      <c r="G72" s="38">
        <f t="shared" ref="G72:L72" si="25">G57/G42</f>
        <v>0.91011506592170976</v>
      </c>
      <c r="H72" s="38">
        <f t="shared" si="25"/>
        <v>1.0543216887131304</v>
      </c>
      <c r="I72" s="38">
        <f t="shared" si="25"/>
        <v>0.47102980363196495</v>
      </c>
      <c r="J72" s="38">
        <f t="shared" si="25"/>
        <v>0.99485580653108152</v>
      </c>
      <c r="K72" s="38">
        <f t="shared" si="25"/>
        <v>0.83896907123581077</v>
      </c>
      <c r="L72" s="38">
        <f t="shared" si="25"/>
        <v>1.2515515000653878</v>
      </c>
      <c r="M72" s="38">
        <f t="shared" si="18"/>
        <v>0.4929145015128148</v>
      </c>
      <c r="N72" s="38">
        <f t="shared" ref="N72:O72" si="26">N57/N42</f>
        <v>0.94591448505805331</v>
      </c>
      <c r="O72" s="38">
        <f t="shared" si="26"/>
        <v>0.7361780049187433</v>
      </c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5"/>
    </row>
    <row r="73" spans="1:29" ht="16.350000000000001" customHeight="1">
      <c r="B73" s="40" t="s">
        <v>85</v>
      </c>
      <c r="C73" s="9" t="s">
        <v>110</v>
      </c>
      <c r="D73" s="39"/>
      <c r="E73" s="38">
        <f t="shared" si="20"/>
        <v>17.425012952905437</v>
      </c>
      <c r="F73" s="38">
        <f t="shared" si="20"/>
        <v>0.43019702672651755</v>
      </c>
      <c r="G73" s="38">
        <f t="shared" ref="G73:L73" si="27">G58/G43</f>
        <v>0.40614448517537416</v>
      </c>
      <c r="H73" s="38">
        <f t="shared" si="27"/>
        <v>1.0354425103197482</v>
      </c>
      <c r="I73" s="38">
        <f t="shared" si="27"/>
        <v>0.68598748687252975</v>
      </c>
      <c r="J73" s="38">
        <f t="shared" si="27"/>
        <v>0.48813278123554577</v>
      </c>
      <c r="K73" s="38">
        <f t="shared" si="27"/>
        <v>0.63515571595862541</v>
      </c>
      <c r="L73" s="38">
        <f t="shared" si="27"/>
        <v>0.69159175554335817</v>
      </c>
      <c r="M73" s="38">
        <f t="shared" si="18"/>
        <v>0.65640624710167472</v>
      </c>
      <c r="N73" s="38">
        <f t="shared" ref="N73:O73" si="28">N58/N43</f>
        <v>0.35293917182799134</v>
      </c>
      <c r="O73" s="38">
        <f t="shared" si="28"/>
        <v>0.40175846266617632</v>
      </c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5"/>
    </row>
    <row r="74" spans="1:29" ht="16.350000000000001" customHeight="1">
      <c r="B74" s="40" t="s">
        <v>115</v>
      </c>
      <c r="C74" s="9" t="s">
        <v>110</v>
      </c>
      <c r="D74" s="39"/>
      <c r="E74" s="38">
        <f t="shared" si="20"/>
        <v>0.28530541066677811</v>
      </c>
      <c r="F74" s="38">
        <f t="shared" si="20"/>
        <v>0.55621447754307896</v>
      </c>
      <c r="G74" s="38">
        <f t="shared" ref="G74:L74" si="29">G59/G44</f>
        <v>0.38001226229094315</v>
      </c>
      <c r="H74" s="38">
        <f t="shared" si="29"/>
        <v>0.46429010836873552</v>
      </c>
      <c r="I74" s="38">
        <f t="shared" si="29"/>
        <v>0.32630980238085672</v>
      </c>
      <c r="J74" s="38">
        <f t="shared" si="29"/>
        <v>0.54463474158539837</v>
      </c>
      <c r="K74" s="38">
        <f t="shared" si="29"/>
        <v>0.88849520896462553</v>
      </c>
      <c r="L74" s="38">
        <f t="shared" si="29"/>
        <v>0.50563802437647398</v>
      </c>
      <c r="M74" s="38">
        <f t="shared" si="18"/>
        <v>0.46517524119724907</v>
      </c>
      <c r="N74" s="38">
        <f t="shared" ref="N74:O74" si="30">N59/N44</f>
        <v>0.58610400663601259</v>
      </c>
      <c r="O74" s="38">
        <f t="shared" si="30"/>
        <v>0.7162106007111162</v>
      </c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5"/>
    </row>
    <row r="75" spans="1:29" ht="16.350000000000001" customHeight="1">
      <c r="B75" s="40" t="s">
        <v>116</v>
      </c>
      <c r="C75" s="9" t="s">
        <v>110</v>
      </c>
      <c r="D75" s="39"/>
      <c r="E75" s="38">
        <f t="shared" si="20"/>
        <v>34.651893614458785</v>
      </c>
      <c r="F75" s="38">
        <f t="shared" si="20"/>
        <v>0.26139288878827804</v>
      </c>
      <c r="G75" s="38">
        <f t="shared" ref="G75:L75" si="31">G60/G45</f>
        <v>7.3628434349189809E-2</v>
      </c>
      <c r="H75" s="38">
        <f t="shared" si="31"/>
        <v>0.23561113754919619</v>
      </c>
      <c r="I75" s="38">
        <f t="shared" si="31"/>
        <v>0.18859620252691367</v>
      </c>
      <c r="J75" s="38">
        <f t="shared" si="31"/>
        <v>0.19547053278266124</v>
      </c>
      <c r="K75" s="38">
        <f t="shared" si="31"/>
        <v>0.14712230406868548</v>
      </c>
      <c r="L75" s="38">
        <f t="shared" si="31"/>
        <v>0.77908039366799031</v>
      </c>
      <c r="M75" s="38">
        <f t="shared" si="18"/>
        <v>0.51138783217512784</v>
      </c>
      <c r="N75" s="38">
        <f t="shared" ref="N75:O75" si="32">N60/N45</f>
        <v>0.55109720686697561</v>
      </c>
      <c r="O75" s="38">
        <f t="shared" si="32"/>
        <v>0.54028584477321562</v>
      </c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5"/>
    </row>
    <row r="76" spans="1:29" ht="16.350000000000001" customHeight="1">
      <c r="B76" s="40" t="s">
        <v>117</v>
      </c>
      <c r="C76" s="9" t="s">
        <v>110</v>
      </c>
      <c r="D76" s="39"/>
      <c r="E76" s="38">
        <f t="shared" si="20"/>
        <v>0</v>
      </c>
      <c r="F76" s="38">
        <f t="shared" si="20"/>
        <v>0</v>
      </c>
      <c r="G76" s="38">
        <f t="shared" ref="G76:L76" si="33">G61/G46</f>
        <v>0.68057083294485465</v>
      </c>
      <c r="H76" s="38">
        <f t="shared" si="33"/>
        <v>0.24960514919847435</v>
      </c>
      <c r="I76" s="38">
        <f t="shared" si="33"/>
        <v>0.25209142494288356</v>
      </c>
      <c r="J76" s="38">
        <f t="shared" si="33"/>
        <v>0.14691649965781473</v>
      </c>
      <c r="K76" s="38">
        <f t="shared" si="33"/>
        <v>1.0595524050301586</v>
      </c>
      <c r="L76" s="38">
        <f t="shared" si="33"/>
        <v>0.14552475676817014</v>
      </c>
      <c r="M76" s="38">
        <f t="shared" si="18"/>
        <v>0.53127850026147727</v>
      </c>
      <c r="N76" s="38">
        <f t="shared" ref="N76:O76" si="34">N61/N46</f>
        <v>0.22070146403525351</v>
      </c>
      <c r="O76" s="38">
        <f t="shared" si="34"/>
        <v>0.12185076390602072</v>
      </c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5"/>
    </row>
    <row r="77" spans="1:29" ht="16.350000000000001" customHeight="1">
      <c r="B77" s="40" t="s">
        <v>118</v>
      </c>
      <c r="C77" s="9" t="s">
        <v>110</v>
      </c>
      <c r="D77" s="39"/>
      <c r="E77" s="38">
        <f t="shared" si="20"/>
        <v>0</v>
      </c>
      <c r="F77" s="38">
        <f t="shared" si="20"/>
        <v>1.7558673106862075</v>
      </c>
      <c r="G77" s="38">
        <f t="shared" ref="G77:L77" si="35">G62/G47</f>
        <v>1.4030445305863588</v>
      </c>
      <c r="H77" s="38">
        <f t="shared" si="35"/>
        <v>1.0174425026986098</v>
      </c>
      <c r="I77" s="38">
        <f t="shared" si="35"/>
        <v>0.58278007040689961</v>
      </c>
      <c r="J77" s="38">
        <f t="shared" si="35"/>
        <v>0.29654833607072906</v>
      </c>
      <c r="K77" s="38">
        <f t="shared" si="35"/>
        <v>0.27799961341132018</v>
      </c>
      <c r="L77" s="38">
        <f t="shared" si="35"/>
        <v>6.170470804910573E-2</v>
      </c>
      <c r="M77" s="38">
        <f t="shared" si="18"/>
        <v>0.44688126148145024</v>
      </c>
      <c r="N77" s="38">
        <f t="shared" ref="N77:O77" si="36">N62/N47</f>
        <v>1.0762916800679929</v>
      </c>
      <c r="O77" s="38">
        <f t="shared" si="36"/>
        <v>0.29453275632795528</v>
      </c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5"/>
    </row>
    <row r="78" spans="1:29" ht="16.350000000000001" customHeight="1">
      <c r="B78" s="40" t="s">
        <v>101</v>
      </c>
      <c r="C78" s="9" t="s">
        <v>110</v>
      </c>
      <c r="D78" s="39"/>
      <c r="E78" s="38"/>
      <c r="F78" s="38">
        <f t="shared" si="20"/>
        <v>0.56275001044558082</v>
      </c>
      <c r="G78" s="38">
        <f t="shared" ref="G78:L78" si="37">G63/G48</f>
        <v>0.64551926297535378</v>
      </c>
      <c r="H78" s="38">
        <f t="shared" si="37"/>
        <v>0</v>
      </c>
      <c r="I78" s="38">
        <f t="shared" si="37"/>
        <v>2.2026371894306234</v>
      </c>
      <c r="J78" s="38">
        <f t="shared" si="37"/>
        <v>0.80992698676609187</v>
      </c>
      <c r="K78" s="38">
        <f t="shared" si="37"/>
        <v>0.18708067513352922</v>
      </c>
      <c r="L78" s="38">
        <f t="shared" si="37"/>
        <v>1.5658702635587565</v>
      </c>
      <c r="M78" s="38">
        <f t="shared" si="18"/>
        <v>3.0485490284663044</v>
      </c>
      <c r="N78" s="38">
        <f t="shared" ref="N78:O78" si="38">N63/N48</f>
        <v>5.2642044045257128</v>
      </c>
      <c r="O78" s="38">
        <f t="shared" si="38"/>
        <v>1.0048669077524737</v>
      </c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5"/>
    </row>
    <row r="79" spans="1:29" ht="16.350000000000001" customHeight="1">
      <c r="B79" s="40" t="s">
        <v>86</v>
      </c>
      <c r="C79" s="9" t="s">
        <v>110</v>
      </c>
      <c r="D79" s="39"/>
      <c r="E79" s="38">
        <f t="shared" si="20"/>
        <v>0.9609314596330969</v>
      </c>
      <c r="F79" s="38">
        <f t="shared" si="20"/>
        <v>1.053479554067192</v>
      </c>
      <c r="G79" s="38">
        <f t="shared" ref="G79:L79" si="39">G64/G49</f>
        <v>0.97168242210549605</v>
      </c>
      <c r="H79" s="38">
        <f t="shared" si="39"/>
        <v>0.79778683932684247</v>
      </c>
      <c r="I79" s="38">
        <f t="shared" si="39"/>
        <v>0.87518580393228329</v>
      </c>
      <c r="J79" s="38">
        <f t="shared" si="39"/>
        <v>1.1161512899203467</v>
      </c>
      <c r="K79" s="38">
        <f t="shared" si="39"/>
        <v>1.071488118730231</v>
      </c>
      <c r="L79" s="38">
        <f t="shared" si="39"/>
        <v>0.76084875036946653</v>
      </c>
      <c r="M79" s="38">
        <f t="shared" si="18"/>
        <v>0.98164889743984274</v>
      </c>
      <c r="N79" s="38">
        <f t="shared" ref="N79:O79" si="40">N64/N49</f>
        <v>1.102166543693061</v>
      </c>
      <c r="O79" s="38">
        <f t="shared" si="40"/>
        <v>1.0743379492664977</v>
      </c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5"/>
    </row>
    <row r="80" spans="1:29" ht="16.350000000000001" customHeight="1">
      <c r="B80" s="40" t="s">
        <v>2</v>
      </c>
      <c r="C80" s="9" t="s">
        <v>110</v>
      </c>
      <c r="D80" s="39"/>
      <c r="E80" s="38"/>
      <c r="F80" s="38"/>
      <c r="G80" s="38"/>
      <c r="H80" s="38"/>
      <c r="I80" s="38"/>
      <c r="J80" s="38"/>
      <c r="K80" s="38"/>
      <c r="L80" s="38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5"/>
    </row>
    <row r="81" spans="1:29" s="27" customFormat="1" ht="16.350000000000001" customHeight="1">
      <c r="B81" s="29" t="s">
        <v>3</v>
      </c>
      <c r="C81" s="28" t="s">
        <v>65</v>
      </c>
      <c r="D81" s="28"/>
      <c r="E81" s="72">
        <f t="shared" si="20"/>
        <v>1.2216803747156493</v>
      </c>
      <c r="F81" s="72">
        <f t="shared" si="20"/>
        <v>0.86228255207030768</v>
      </c>
      <c r="G81" s="72">
        <f t="shared" ref="G81:M81" si="41">G66/G51</f>
        <v>0.86893269938473705</v>
      </c>
      <c r="H81" s="72">
        <f t="shared" si="41"/>
        <v>0.86797387900124601</v>
      </c>
      <c r="I81" s="72">
        <f t="shared" si="41"/>
        <v>0.8536107153883129</v>
      </c>
      <c r="J81" s="72">
        <f t="shared" si="41"/>
        <v>0.88647551205620922</v>
      </c>
      <c r="K81" s="72">
        <f t="shared" si="41"/>
        <v>0.96652187504225007</v>
      </c>
      <c r="L81" s="72">
        <f t="shared" si="41"/>
        <v>0.83742517348959533</v>
      </c>
      <c r="M81" s="72">
        <f t="shared" si="41"/>
        <v>0.89048665893486911</v>
      </c>
      <c r="N81" s="72">
        <f t="shared" ref="N81:O81" si="42">N66/N51</f>
        <v>0.90495738719644248</v>
      </c>
      <c r="O81" s="72">
        <f t="shared" si="42"/>
        <v>0.90552067174303863</v>
      </c>
    </row>
    <row r="82" spans="1:29" s="27" customFormat="1" ht="16.350000000000001" customHeight="1">
      <c r="B82" s="32"/>
      <c r="C82" s="28"/>
      <c r="D82" s="28"/>
    </row>
    <row r="83" spans="1:29" s="26" customFormat="1" ht="15.75" customHeight="1" thickBot="1">
      <c r="A83" s="25" t="s">
        <v>90</v>
      </c>
      <c r="B83" s="20"/>
      <c r="C83" s="20" t="s">
        <v>20</v>
      </c>
      <c r="D83" s="20" t="s">
        <v>21</v>
      </c>
      <c r="E83" s="1" t="s">
        <v>16</v>
      </c>
      <c r="F83" s="2" t="s">
        <v>17</v>
      </c>
      <c r="G83" s="1" t="s">
        <v>18</v>
      </c>
      <c r="H83" s="2" t="s">
        <v>19</v>
      </c>
      <c r="I83" s="1" t="s">
        <v>73</v>
      </c>
      <c r="J83" s="2" t="s">
        <v>74</v>
      </c>
      <c r="K83" s="1" t="s">
        <v>71</v>
      </c>
      <c r="L83" s="1" t="s">
        <v>72</v>
      </c>
      <c r="M83" s="1" t="s">
        <v>158</v>
      </c>
      <c r="N83" s="68" t="s">
        <v>159</v>
      </c>
      <c r="O83" s="68" t="s">
        <v>162</v>
      </c>
    </row>
    <row r="84" spans="1:29" ht="16.350000000000001" customHeight="1">
      <c r="B84" s="44" t="s">
        <v>111</v>
      </c>
      <c r="C84" s="9" t="s">
        <v>110</v>
      </c>
      <c r="D84" s="37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5"/>
    </row>
    <row r="85" spans="1:29" ht="16.350000000000001" customHeight="1">
      <c r="B85" s="40" t="s">
        <v>112</v>
      </c>
      <c r="C85" s="9" t="s">
        <v>110</v>
      </c>
      <c r="D85" s="39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5"/>
    </row>
    <row r="86" spans="1:29" ht="16.350000000000001" customHeight="1">
      <c r="B86" s="40" t="s">
        <v>113</v>
      </c>
      <c r="C86" s="9" t="s">
        <v>110</v>
      </c>
      <c r="D86" s="39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5"/>
    </row>
    <row r="87" spans="1:29" ht="16.350000000000001" customHeight="1">
      <c r="B87" s="40" t="s">
        <v>114</v>
      </c>
      <c r="C87" s="9" t="s">
        <v>110</v>
      </c>
      <c r="D87" s="39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5"/>
    </row>
    <row r="88" spans="1:29" ht="16.350000000000001" customHeight="1">
      <c r="B88" s="40" t="s">
        <v>85</v>
      </c>
      <c r="C88" s="9" t="s">
        <v>110</v>
      </c>
      <c r="D88" s="39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5"/>
    </row>
    <row r="89" spans="1:29" ht="16.350000000000001" customHeight="1">
      <c r="B89" s="40" t="s">
        <v>115</v>
      </c>
      <c r="C89" s="9" t="s">
        <v>110</v>
      </c>
      <c r="D89" s="39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5"/>
    </row>
    <row r="90" spans="1:29" ht="16.350000000000001" customHeight="1">
      <c r="B90" s="40" t="s">
        <v>116</v>
      </c>
      <c r="C90" s="9" t="s">
        <v>110</v>
      </c>
      <c r="D90" s="39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5"/>
    </row>
    <row r="91" spans="1:29" ht="16.350000000000001" customHeight="1">
      <c r="B91" s="40" t="s">
        <v>117</v>
      </c>
      <c r="C91" s="9" t="s">
        <v>110</v>
      </c>
      <c r="D91" s="39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5"/>
    </row>
    <row r="92" spans="1:29" ht="16.350000000000001" customHeight="1">
      <c r="B92" s="40" t="s">
        <v>118</v>
      </c>
      <c r="C92" s="9" t="s">
        <v>110</v>
      </c>
      <c r="D92" s="39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5"/>
    </row>
    <row r="93" spans="1:29" ht="16.350000000000001" customHeight="1">
      <c r="B93" s="40" t="s">
        <v>101</v>
      </c>
      <c r="C93" s="9" t="s">
        <v>110</v>
      </c>
      <c r="D93" s="39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5"/>
    </row>
    <row r="94" spans="1:29" ht="16.350000000000001" customHeight="1">
      <c r="B94" s="40" t="s">
        <v>86</v>
      </c>
      <c r="C94" s="9" t="s">
        <v>110</v>
      </c>
      <c r="D94" s="39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5"/>
    </row>
    <row r="95" spans="1:29" ht="16.350000000000001" customHeight="1">
      <c r="B95" s="40" t="s">
        <v>2</v>
      </c>
      <c r="C95" s="9" t="s">
        <v>110</v>
      </c>
      <c r="D95" s="39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5"/>
    </row>
    <row r="96" spans="1:29" s="27" customFormat="1" ht="16.350000000000001" customHeight="1">
      <c r="B96" s="29" t="s">
        <v>3</v>
      </c>
      <c r="C96" s="28" t="s">
        <v>65</v>
      </c>
      <c r="D96" s="28"/>
      <c r="E96" s="70">
        <f>SUM(E84:E95)</f>
        <v>0</v>
      </c>
      <c r="F96" s="70">
        <f>SUM(F84:F95)</f>
        <v>0</v>
      </c>
      <c r="G96" s="70">
        <f t="shared" ref="G96:L96" si="43">SUM(G84:G95)</f>
        <v>0</v>
      </c>
      <c r="H96" s="70">
        <f t="shared" si="43"/>
        <v>0</v>
      </c>
      <c r="I96" s="70">
        <f t="shared" si="43"/>
        <v>0</v>
      </c>
      <c r="J96" s="70">
        <f t="shared" si="43"/>
        <v>0</v>
      </c>
      <c r="K96" s="70">
        <f t="shared" si="43"/>
        <v>0</v>
      </c>
      <c r="L96" s="70">
        <f t="shared" si="43"/>
        <v>0</v>
      </c>
    </row>
    <row r="97" spans="1:29" s="27" customFormat="1" ht="16.350000000000001" customHeight="1">
      <c r="B97" s="32"/>
      <c r="C97" s="28"/>
      <c r="D97" s="28"/>
    </row>
    <row r="98" spans="1:29" s="26" customFormat="1" ht="15.75" customHeight="1" thickBot="1">
      <c r="A98" s="25" t="s">
        <v>91</v>
      </c>
      <c r="B98" s="20"/>
      <c r="C98" s="20" t="s">
        <v>20</v>
      </c>
      <c r="D98" s="20" t="s">
        <v>21</v>
      </c>
      <c r="E98" s="1" t="s">
        <v>16</v>
      </c>
      <c r="F98" s="2" t="s">
        <v>17</v>
      </c>
      <c r="G98" s="1" t="s">
        <v>18</v>
      </c>
      <c r="H98" s="2" t="s">
        <v>19</v>
      </c>
      <c r="I98" s="1" t="s">
        <v>73</v>
      </c>
      <c r="J98" s="2" t="s">
        <v>74</v>
      </c>
      <c r="K98" s="1" t="s">
        <v>71</v>
      </c>
      <c r="L98" s="1" t="s">
        <v>72</v>
      </c>
      <c r="M98" s="1" t="s">
        <v>158</v>
      </c>
      <c r="N98" s="68" t="s">
        <v>159</v>
      </c>
      <c r="O98" s="1" t="s">
        <v>162</v>
      </c>
    </row>
    <row r="99" spans="1:29" ht="16.350000000000001" customHeight="1">
      <c r="B99" s="44" t="s">
        <v>111</v>
      </c>
      <c r="C99" s="9" t="s">
        <v>110</v>
      </c>
      <c r="D99" s="37"/>
      <c r="E99" s="64">
        <f>E39-E54</f>
        <v>80309204.593616009</v>
      </c>
      <c r="F99" s="64">
        <f t="shared" ref="F99:M99" si="44">F39-F54</f>
        <v>14622513.092951775</v>
      </c>
      <c r="G99" s="64">
        <f t="shared" si="44"/>
        <v>19603918.84435612</v>
      </c>
      <c r="H99" s="64">
        <f t="shared" si="44"/>
        <v>-18468791.034744859</v>
      </c>
      <c r="I99" s="64">
        <f t="shared" si="44"/>
        <v>12346500.528960109</v>
      </c>
      <c r="J99" s="64">
        <f t="shared" si="44"/>
        <v>36080480.551087976</v>
      </c>
      <c r="K99" s="64">
        <f t="shared" si="44"/>
        <v>-7859475.8910956383</v>
      </c>
      <c r="L99" s="64">
        <f t="shared" si="44"/>
        <v>68824461.082834959</v>
      </c>
      <c r="M99" s="64">
        <f t="shared" si="44"/>
        <v>59012730.449148059</v>
      </c>
      <c r="N99" s="64">
        <f t="shared" ref="N99:O99" si="45">N39-N54</f>
        <v>65329700.417715669</v>
      </c>
      <c r="O99" s="64">
        <f t="shared" si="45"/>
        <v>29872611.432980061</v>
      </c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5"/>
    </row>
    <row r="100" spans="1:29" ht="16.350000000000001" customHeight="1">
      <c r="B100" s="40" t="s">
        <v>112</v>
      </c>
      <c r="C100" s="9" t="s">
        <v>110</v>
      </c>
      <c r="D100" s="39"/>
      <c r="E100" s="64">
        <f t="shared" ref="E100:M110" si="46">E40-E55</f>
        <v>1775005.2510000002</v>
      </c>
      <c r="F100" s="64">
        <f t="shared" si="46"/>
        <v>101686.20399999851</v>
      </c>
      <c r="G100" s="64">
        <f t="shared" si="46"/>
        <v>80193.801000000763</v>
      </c>
      <c r="H100" s="64">
        <f t="shared" si="46"/>
        <v>644064.95100000023</v>
      </c>
      <c r="I100" s="64">
        <f t="shared" si="46"/>
        <v>1045022.5080000013</v>
      </c>
      <c r="J100" s="64">
        <f t="shared" si="46"/>
        <v>162998.08399999858</v>
      </c>
      <c r="K100" s="64">
        <f t="shared" si="46"/>
        <v>105297.22199999832</v>
      </c>
      <c r="L100" s="64">
        <f t="shared" si="46"/>
        <v>449223.49336000066</v>
      </c>
      <c r="M100" s="64">
        <f t="shared" si="46"/>
        <v>1831688.8871209999</v>
      </c>
      <c r="N100" s="64">
        <f t="shared" ref="N100:O100" si="47">N40-N55</f>
        <v>37327.750933002098</v>
      </c>
      <c r="O100" s="64">
        <f t="shared" si="47"/>
        <v>336139.93460599892</v>
      </c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5"/>
    </row>
    <row r="101" spans="1:29" ht="16.350000000000001" customHeight="1">
      <c r="B101" s="40" t="s">
        <v>113</v>
      </c>
      <c r="C101" s="9" t="s">
        <v>110</v>
      </c>
      <c r="D101" s="39"/>
      <c r="E101" s="64">
        <f t="shared" si="46"/>
        <v>971660.00154000055</v>
      </c>
      <c r="F101" s="64">
        <f t="shared" si="46"/>
        <v>299629.75184000004</v>
      </c>
      <c r="G101" s="64">
        <f t="shared" si="46"/>
        <v>-153127.71082499996</v>
      </c>
      <c r="H101" s="64">
        <f t="shared" si="46"/>
        <v>541424.49037999986</v>
      </c>
      <c r="I101" s="64">
        <f t="shared" si="46"/>
        <v>612225.30785400094</v>
      </c>
      <c r="J101" s="64">
        <f t="shared" si="46"/>
        <v>116688.13909599977</v>
      </c>
      <c r="K101" s="64">
        <f t="shared" si="46"/>
        <v>733258.95424600015</v>
      </c>
      <c r="L101" s="64">
        <f t="shared" si="46"/>
        <v>-43161180.498583995</v>
      </c>
      <c r="M101" s="64">
        <f t="shared" si="46"/>
        <v>723587.11965399981</v>
      </c>
      <c r="N101" s="64">
        <f t="shared" ref="N101:O101" si="48">N41-N56</f>
        <v>434115.9260470001</v>
      </c>
      <c r="O101" s="64">
        <f t="shared" si="48"/>
        <v>919206.03032100014</v>
      </c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5"/>
    </row>
    <row r="102" spans="1:29" ht="16.350000000000001" customHeight="1">
      <c r="B102" s="40" t="s">
        <v>114</v>
      </c>
      <c r="C102" s="9" t="s">
        <v>110</v>
      </c>
      <c r="D102" s="39"/>
      <c r="E102" s="64">
        <f t="shared" si="46"/>
        <v>-6137926.4842299968</v>
      </c>
      <c r="F102" s="64">
        <f t="shared" si="46"/>
        <v>807171.30218305066</v>
      </c>
      <c r="G102" s="64">
        <f t="shared" si="46"/>
        <v>3140451.5917149931</v>
      </c>
      <c r="H102" s="64">
        <f t="shared" si="46"/>
        <v>-2779711.0818850026</v>
      </c>
      <c r="I102" s="64">
        <f t="shared" si="46"/>
        <v>38367628.56865</v>
      </c>
      <c r="J102" s="64">
        <f t="shared" si="46"/>
        <v>215530.76400000602</v>
      </c>
      <c r="K102" s="64">
        <f t="shared" si="46"/>
        <v>7181526.5758709982</v>
      </c>
      <c r="L102" s="64">
        <f t="shared" si="46"/>
        <v>-16393965.662095979</v>
      </c>
      <c r="M102" s="64">
        <f t="shared" si="46"/>
        <v>39858953.265865989</v>
      </c>
      <c r="N102" s="64">
        <f t="shared" ref="N102:O102" si="49">N42-N57</f>
        <v>2821724.5394019932</v>
      </c>
      <c r="O102" s="64">
        <f t="shared" si="49"/>
        <v>14070606.408445001</v>
      </c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5"/>
    </row>
    <row r="103" spans="1:29" ht="16.350000000000001" customHeight="1">
      <c r="B103" s="40" t="s">
        <v>85</v>
      </c>
      <c r="C103" s="9" t="s">
        <v>110</v>
      </c>
      <c r="D103" s="39"/>
      <c r="E103" s="64">
        <f t="shared" si="46"/>
        <v>-315056014.11849993</v>
      </c>
      <c r="F103" s="64">
        <f t="shared" si="46"/>
        <v>46676080.741999991</v>
      </c>
      <c r="G103" s="64">
        <f t="shared" si="46"/>
        <v>56268859.770519987</v>
      </c>
      <c r="H103" s="64">
        <f t="shared" si="46"/>
        <v>-681793.26860000193</v>
      </c>
      <c r="I103" s="64">
        <f t="shared" si="46"/>
        <v>4716969.5739999991</v>
      </c>
      <c r="J103" s="64">
        <f t="shared" si="46"/>
        <v>34413455.96549999</v>
      </c>
      <c r="K103" s="64">
        <f t="shared" si="46"/>
        <v>34632138.503999993</v>
      </c>
      <c r="L103" s="64">
        <f t="shared" si="46"/>
        <v>6596040.3011100013</v>
      </c>
      <c r="M103" s="64">
        <f t="shared" si="46"/>
        <v>6367422.8120310009</v>
      </c>
      <c r="N103" s="64">
        <f t="shared" ref="N103:O103" si="50">N43-N58</f>
        <v>68612880.350462988</v>
      </c>
      <c r="O103" s="64">
        <f t="shared" si="50"/>
        <v>73911009.519167989</v>
      </c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5"/>
    </row>
    <row r="104" spans="1:29" ht="16.350000000000001" customHeight="1">
      <c r="B104" s="40" t="s">
        <v>115</v>
      </c>
      <c r="C104" s="9" t="s">
        <v>110</v>
      </c>
      <c r="D104" s="39"/>
      <c r="E104" s="64">
        <f t="shared" si="46"/>
        <v>17149745.472800002</v>
      </c>
      <c r="F104" s="64">
        <f t="shared" si="46"/>
        <v>8183397.2102999985</v>
      </c>
      <c r="G104" s="64">
        <f t="shared" si="46"/>
        <v>11669678.21484</v>
      </c>
      <c r="H104" s="64">
        <f t="shared" si="46"/>
        <v>10804058.8135</v>
      </c>
      <c r="I104" s="64">
        <f t="shared" si="46"/>
        <v>15470018.0133</v>
      </c>
      <c r="J104" s="64">
        <f t="shared" si="46"/>
        <v>9884687.5368999988</v>
      </c>
      <c r="K104" s="64">
        <f t="shared" si="46"/>
        <v>2868743.2564080022</v>
      </c>
      <c r="L104" s="64">
        <f t="shared" si="46"/>
        <v>13667425.254500002</v>
      </c>
      <c r="M104" s="64">
        <f t="shared" si="46"/>
        <v>13273790.456571005</v>
      </c>
      <c r="N104" s="64">
        <f t="shared" ref="N104:O104" si="51">N44-N59</f>
        <v>7899115.7021599989</v>
      </c>
      <c r="O104" s="64">
        <f t="shared" si="51"/>
        <v>6041950.3526999988</v>
      </c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5"/>
    </row>
    <row r="105" spans="1:29" ht="16.350000000000001" customHeight="1">
      <c r="B105" s="40" t="s">
        <v>116</v>
      </c>
      <c r="C105" s="9" t="s">
        <v>110</v>
      </c>
      <c r="D105" s="39"/>
      <c r="E105" s="64">
        <f t="shared" si="46"/>
        <v>-135395208.90700001</v>
      </c>
      <c r="F105" s="64">
        <f t="shared" si="46"/>
        <v>4795979.2879999988</v>
      </c>
      <c r="G105" s="64">
        <f t="shared" si="46"/>
        <v>6683391.0820000013</v>
      </c>
      <c r="H105" s="64">
        <f t="shared" si="46"/>
        <v>2087537.3319999999</v>
      </c>
      <c r="I105" s="64">
        <f t="shared" si="46"/>
        <v>2522649.5720000006</v>
      </c>
      <c r="J105" s="64">
        <f t="shared" si="46"/>
        <v>15672475.875099996</v>
      </c>
      <c r="K105" s="64">
        <f t="shared" si="46"/>
        <v>19820737.210499998</v>
      </c>
      <c r="L105" s="64">
        <f t="shared" si="46"/>
        <v>986774.17779999925</v>
      </c>
      <c r="M105" s="64">
        <f t="shared" si="46"/>
        <v>2315134.9728245791</v>
      </c>
      <c r="N105" s="64">
        <f t="shared" ref="N105:O105" si="52">N45-N60</f>
        <v>1934311.8766999994</v>
      </c>
      <c r="O105" s="64">
        <f t="shared" si="52"/>
        <v>1553492.5188</v>
      </c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5"/>
    </row>
    <row r="106" spans="1:29" ht="16.350000000000001" customHeight="1">
      <c r="B106" s="40" t="s">
        <v>117</v>
      </c>
      <c r="C106" s="9" t="s">
        <v>110</v>
      </c>
      <c r="D106" s="39"/>
      <c r="E106" s="64">
        <f t="shared" si="46"/>
        <v>74536907.480000004</v>
      </c>
      <c r="F106" s="64">
        <f t="shared" si="46"/>
        <v>64575059</v>
      </c>
      <c r="G106" s="64">
        <f t="shared" si="46"/>
        <v>22059674.210000008</v>
      </c>
      <c r="H106" s="64">
        <f t="shared" si="46"/>
        <v>54113896.920000002</v>
      </c>
      <c r="I106" s="64">
        <f t="shared" si="46"/>
        <v>65269926</v>
      </c>
      <c r="J106" s="64">
        <f t="shared" si="46"/>
        <v>75485636.604999989</v>
      </c>
      <c r="K106" s="64">
        <f t="shared" si="46"/>
        <v>-5564319.4900000095</v>
      </c>
      <c r="L106" s="64">
        <f t="shared" si="46"/>
        <v>85139403.782680005</v>
      </c>
      <c r="M106" s="64">
        <f t="shared" si="46"/>
        <v>50564506.753600001</v>
      </c>
      <c r="N106" s="64">
        <f t="shared" ref="N106:O106" si="53">N46-N61</f>
        <v>95337203.869599998</v>
      </c>
      <c r="O106" s="64">
        <f t="shared" si="53"/>
        <v>91480127.692000002</v>
      </c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5"/>
    </row>
    <row r="107" spans="1:29" ht="16.350000000000001" customHeight="1">
      <c r="B107" s="40" t="s">
        <v>118</v>
      </c>
      <c r="C107" s="9" t="s">
        <v>110</v>
      </c>
      <c r="D107" s="39"/>
      <c r="E107" s="64">
        <f t="shared" si="46"/>
        <v>921023.14</v>
      </c>
      <c r="F107" s="64">
        <f t="shared" si="46"/>
        <v>-215240.44160000002</v>
      </c>
      <c r="G107" s="64">
        <f t="shared" si="46"/>
        <v>-114905.69880000001</v>
      </c>
      <c r="H107" s="64">
        <f t="shared" si="46"/>
        <v>-11864.75</v>
      </c>
      <c r="I107" s="64">
        <f t="shared" si="46"/>
        <v>421288.02</v>
      </c>
      <c r="J107" s="64">
        <f t="shared" si="46"/>
        <v>473144.41000000003</v>
      </c>
      <c r="K107" s="64">
        <f t="shared" si="46"/>
        <v>597339.28</v>
      </c>
      <c r="L107" s="64">
        <f t="shared" si="46"/>
        <v>1052633.77</v>
      </c>
      <c r="M107" s="64">
        <f t="shared" si="46"/>
        <v>742638.53</v>
      </c>
      <c r="N107" s="64">
        <f t="shared" ref="N107:O107" si="54">N47-N62</f>
        <v>-63795.449999999953</v>
      </c>
      <c r="O107" s="64">
        <f t="shared" si="54"/>
        <v>718562.42999999993</v>
      </c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5"/>
    </row>
    <row r="108" spans="1:29" ht="16.350000000000001" customHeight="1">
      <c r="B108" s="40" t="s">
        <v>101</v>
      </c>
      <c r="C108" s="9" t="s">
        <v>110</v>
      </c>
      <c r="D108" s="39"/>
      <c r="E108" s="64">
        <f t="shared" si="46"/>
        <v>0</v>
      </c>
      <c r="F108" s="64">
        <f t="shared" si="46"/>
        <v>7238647.701100003</v>
      </c>
      <c r="G108" s="64">
        <f t="shared" si="46"/>
        <v>7158785.4600000009</v>
      </c>
      <c r="H108" s="64">
        <f t="shared" si="46"/>
        <v>17149565.439999998</v>
      </c>
      <c r="I108" s="64">
        <f t="shared" si="46"/>
        <v>-9336578.9145600013</v>
      </c>
      <c r="J108" s="64">
        <f t="shared" si="46"/>
        <v>3262040.8100000024</v>
      </c>
      <c r="K108" s="64">
        <f t="shared" si="46"/>
        <v>19553793.88752</v>
      </c>
      <c r="L108" s="64">
        <f t="shared" si="46"/>
        <v>-4047427.8740400001</v>
      </c>
      <c r="M108" s="64">
        <f t="shared" si="46"/>
        <v>-5478142.5815439997</v>
      </c>
      <c r="N108" s="64">
        <f t="shared" ref="N108:O108" si="55">N48-N63</f>
        <v>-32106852.329999998</v>
      </c>
      <c r="O108" s="64">
        <f t="shared" si="55"/>
        <v>-74207.559999998659</v>
      </c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5"/>
    </row>
    <row r="109" spans="1:29" ht="16.350000000000001" customHeight="1">
      <c r="B109" s="40" t="s">
        <v>86</v>
      </c>
      <c r="C109" s="9" t="s">
        <v>110</v>
      </c>
      <c r="D109" s="39"/>
      <c r="E109" s="64">
        <f t="shared" si="46"/>
        <v>20963812.001499951</v>
      </c>
      <c r="F109" s="64">
        <f t="shared" si="46"/>
        <v>-15722643.939298332</v>
      </c>
      <c r="G109" s="64">
        <f t="shared" si="46"/>
        <v>8036652.6603999734</v>
      </c>
      <c r="H109" s="64">
        <f t="shared" si="46"/>
        <v>88218404.501600027</v>
      </c>
      <c r="I109" s="64">
        <f t="shared" si="46"/>
        <v>77120458.085000038</v>
      </c>
      <c r="J109" s="64">
        <f t="shared" si="46"/>
        <v>-41212758.149990976</v>
      </c>
      <c r="K109" s="64">
        <f t="shared" si="46"/>
        <v>-26631677.156196952</v>
      </c>
      <c r="L109" s="64">
        <f t="shared" si="46"/>
        <v>140284245.01764303</v>
      </c>
      <c r="M109" s="64">
        <f t="shared" si="46"/>
        <v>12738531.490764141</v>
      </c>
      <c r="N109" s="64">
        <f t="shared" ref="N109" si="56">N49-N64</f>
        <v>-50278126.507720053</v>
      </c>
      <c r="O109" s="64">
        <f>O49-O64</f>
        <v>-40183874.644311905</v>
      </c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5"/>
    </row>
    <row r="110" spans="1:29" ht="16.350000000000001" customHeight="1">
      <c r="B110" s="40" t="s">
        <v>2</v>
      </c>
      <c r="C110" s="9" t="s">
        <v>110</v>
      </c>
      <c r="D110" s="39"/>
      <c r="E110" s="64">
        <f t="shared" si="46"/>
        <v>0</v>
      </c>
      <c r="F110" s="64">
        <f t="shared" si="46"/>
        <v>0</v>
      </c>
      <c r="G110" s="64">
        <f t="shared" si="46"/>
        <v>0</v>
      </c>
      <c r="H110" s="64">
        <f t="shared" si="46"/>
        <v>0</v>
      </c>
      <c r="I110" s="64">
        <f t="shared" si="46"/>
        <v>0</v>
      </c>
      <c r="J110" s="64">
        <f t="shared" si="46"/>
        <v>0</v>
      </c>
      <c r="K110" s="64">
        <f t="shared" si="46"/>
        <v>0</v>
      </c>
      <c r="L110" s="64">
        <f t="shared" si="46"/>
        <v>0</v>
      </c>
      <c r="M110" s="64">
        <f t="shared" si="46"/>
        <v>0</v>
      </c>
      <c r="N110" s="64">
        <f t="shared" ref="N110:O110" si="57">N50-N65</f>
        <v>0</v>
      </c>
      <c r="O110" s="64">
        <f t="shared" si="57"/>
        <v>0</v>
      </c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5"/>
    </row>
    <row r="111" spans="1:29" s="27" customFormat="1" ht="16.350000000000001" customHeight="1">
      <c r="B111" s="29" t="s">
        <v>3</v>
      </c>
      <c r="C111" s="28" t="s">
        <v>65</v>
      </c>
      <c r="D111" s="28"/>
      <c r="E111" s="70">
        <f>SUM(E99:E110)</f>
        <v>-259961791.56927395</v>
      </c>
      <c r="F111" s="70">
        <f>SUM(F99:F110)</f>
        <v>131362279.91147646</v>
      </c>
      <c r="G111" s="70">
        <f t="shared" ref="G111:M111" si="58">SUM(G99:G110)</f>
        <v>134433572.22520608</v>
      </c>
      <c r="H111" s="70">
        <f t="shared" si="58"/>
        <v>151616792.31325018</v>
      </c>
      <c r="I111" s="70">
        <f t="shared" si="58"/>
        <v>208556107.26320416</v>
      </c>
      <c r="J111" s="70">
        <f t="shared" si="58"/>
        <v>134554380.59069297</v>
      </c>
      <c r="K111" s="70">
        <f t="shared" si="58"/>
        <v>45437362.353252396</v>
      </c>
      <c r="L111" s="70">
        <f t="shared" si="58"/>
        <v>253397632.84520802</v>
      </c>
      <c r="M111" s="70">
        <f t="shared" si="58"/>
        <v>181950842.15603575</v>
      </c>
      <c r="N111" s="70">
        <f t="shared" ref="N111" si="59">SUM(N99:N110)</f>
        <v>159957606.14530063</v>
      </c>
      <c r="O111" s="70">
        <f>SUM(O99:O110)</f>
        <v>178645624.11470816</v>
      </c>
    </row>
    <row r="112" spans="1:29" s="82" customFormat="1" ht="15.75" customHeight="1" thickBot="1">
      <c r="A112" s="78" t="s">
        <v>127</v>
      </c>
      <c r="B112" s="79"/>
      <c r="C112" s="79" t="s">
        <v>20</v>
      </c>
      <c r="D112" s="79" t="s">
        <v>21</v>
      </c>
      <c r="E112" s="80" t="s">
        <v>16</v>
      </c>
      <c r="F112" s="81" t="s">
        <v>17</v>
      </c>
      <c r="G112" s="80" t="s">
        <v>18</v>
      </c>
      <c r="H112" s="81" t="s">
        <v>19</v>
      </c>
      <c r="I112" s="80" t="s">
        <v>73</v>
      </c>
      <c r="J112" s="81" t="s">
        <v>74</v>
      </c>
      <c r="K112" s="80" t="s">
        <v>71</v>
      </c>
      <c r="L112" s="80" t="s">
        <v>72</v>
      </c>
      <c r="M112" s="1" t="s">
        <v>158</v>
      </c>
      <c r="N112" s="68" t="s">
        <v>159</v>
      </c>
      <c r="O112" s="1" t="s">
        <v>162</v>
      </c>
    </row>
    <row r="113" spans="2:15" s="83" customFormat="1" ht="16.350000000000001" customHeight="1">
      <c r="B113" s="84" t="s">
        <v>128</v>
      </c>
      <c r="C113" s="85" t="s">
        <v>65</v>
      </c>
      <c r="D113" s="85"/>
      <c r="E113" s="90">
        <v>562.22500000000002</v>
      </c>
      <c r="F113" s="90">
        <v>275.572</v>
      </c>
      <c r="G113" s="90">
        <v>297.63099999999997</v>
      </c>
      <c r="H113" s="90">
        <v>351.745</v>
      </c>
      <c r="I113" s="90">
        <v>417.01499999999999</v>
      </c>
      <c r="J113" s="90">
        <v>492.5</v>
      </c>
      <c r="K113" s="90">
        <v>486.93700000000001</v>
      </c>
      <c r="L113" s="90">
        <v>571.57600000000002</v>
      </c>
      <c r="M113" s="90">
        <v>622.6</v>
      </c>
      <c r="N113" s="134">
        <v>717.97799999999995</v>
      </c>
      <c r="O113" s="90">
        <v>775.3</v>
      </c>
    </row>
    <row r="114" spans="2:15" s="83" customFormat="1" ht="16.350000000000001" customHeight="1">
      <c r="B114" s="86" t="s">
        <v>129</v>
      </c>
      <c r="C114" s="85" t="s">
        <v>65</v>
      </c>
      <c r="D114" s="85"/>
      <c r="E114" s="90">
        <v>37.438000000000002</v>
      </c>
      <c r="F114" s="90">
        <v>38.133000000000003</v>
      </c>
      <c r="G114" s="90">
        <v>38.829000000000001</v>
      </c>
      <c r="H114" s="90">
        <v>39.533999999999999</v>
      </c>
      <c r="I114" s="90">
        <v>40.716000000000001</v>
      </c>
      <c r="J114" s="90">
        <v>41.276000000000003</v>
      </c>
      <c r="K114" s="90">
        <v>41.856999999999999</v>
      </c>
      <c r="L114" s="90">
        <v>43.055999999999997</v>
      </c>
      <c r="M114" s="90">
        <v>44.44</v>
      </c>
      <c r="N114" s="134">
        <v>44.423000000000002</v>
      </c>
      <c r="O114" s="90">
        <v>45</v>
      </c>
    </row>
    <row r="115" spans="2:15" s="83" customFormat="1" ht="16.350000000000001" customHeight="1">
      <c r="B115" s="84" t="s">
        <v>130</v>
      </c>
      <c r="C115" s="85" t="s">
        <v>65</v>
      </c>
      <c r="D115" s="85"/>
      <c r="E115" s="90"/>
      <c r="F115" s="90">
        <v>7.6340000000000003</v>
      </c>
      <c r="G115" s="90">
        <v>14.792</v>
      </c>
      <c r="H115" s="90">
        <v>31.942</v>
      </c>
      <c r="I115" s="90">
        <v>22.606000000000002</v>
      </c>
      <c r="J115" s="90">
        <v>25.867000000000001</v>
      </c>
      <c r="K115" s="90">
        <v>45.418999999999997</v>
      </c>
      <c r="L115" s="90">
        <v>41.372</v>
      </c>
      <c r="M115" s="90">
        <v>35.869999999999997</v>
      </c>
      <c r="N115" s="134">
        <v>3.7669999999999999</v>
      </c>
      <c r="O115" s="90">
        <v>5.0999999999999996</v>
      </c>
    </row>
    <row r="116" spans="2:15" s="83" customFormat="1" ht="16.350000000000001" customHeight="1">
      <c r="B116" s="87" t="s">
        <v>131</v>
      </c>
      <c r="C116" s="85" t="s">
        <v>65</v>
      </c>
      <c r="D116" s="88"/>
      <c r="E116" s="90">
        <v>20.934999999999999</v>
      </c>
      <c r="F116" s="90">
        <v>31.783999999999999</v>
      </c>
      <c r="G116" s="90">
        <v>42.53</v>
      </c>
      <c r="H116" s="90">
        <v>6.2629999999999999</v>
      </c>
      <c r="I116" s="90">
        <v>28.552</v>
      </c>
      <c r="J116" s="90">
        <v>36.765999999999998</v>
      </c>
      <c r="K116" s="90">
        <v>48.843000000000004</v>
      </c>
      <c r="L116" s="90">
        <v>14.337</v>
      </c>
      <c r="M116" s="90">
        <v>37.6</v>
      </c>
      <c r="N116" s="134">
        <v>53.459000000000003</v>
      </c>
      <c r="O116" s="90">
        <v>59.52</v>
      </c>
    </row>
    <row r="117" spans="2:15" s="83" customFormat="1" ht="16.350000000000001" customHeight="1">
      <c r="B117" s="84" t="s">
        <v>132</v>
      </c>
      <c r="C117" s="85" t="s">
        <v>65</v>
      </c>
      <c r="D117" s="89"/>
      <c r="E117" s="90">
        <v>6.8639999999999999</v>
      </c>
      <c r="F117" s="90">
        <v>6.87</v>
      </c>
      <c r="G117" s="90">
        <v>6.82</v>
      </c>
      <c r="H117" s="90">
        <v>6.83</v>
      </c>
      <c r="I117" s="90">
        <v>6.8470000000000004</v>
      </c>
      <c r="J117" s="90">
        <v>6.8540000000000001</v>
      </c>
      <c r="K117" s="90">
        <v>6.8579999999999997</v>
      </c>
      <c r="L117" s="90">
        <v>6.8710000000000004</v>
      </c>
      <c r="M117" s="90">
        <v>6.9</v>
      </c>
      <c r="N117" s="134">
        <v>6.9029999999999996</v>
      </c>
      <c r="O117" s="90">
        <v>6.95</v>
      </c>
    </row>
    <row r="118" spans="2:15" s="83" customFormat="1" ht="16.350000000000001" customHeight="1">
      <c r="B118" s="87" t="s">
        <v>133</v>
      </c>
      <c r="C118" s="85" t="s">
        <v>65</v>
      </c>
      <c r="D118" s="85"/>
      <c r="E118" s="90">
        <v>2.3610000000000002</v>
      </c>
      <c r="F118" s="90">
        <v>2.3610000000000002</v>
      </c>
      <c r="G118" s="90">
        <v>2.3610000000000002</v>
      </c>
      <c r="H118" s="90">
        <v>2.3610000000000002</v>
      </c>
      <c r="I118" s="90">
        <v>2.3610000000000002</v>
      </c>
      <c r="J118" s="90">
        <v>2.3610000000000002</v>
      </c>
      <c r="K118" s="90">
        <v>2.3610000000000002</v>
      </c>
      <c r="L118" s="90">
        <v>2.3610000000000002</v>
      </c>
      <c r="M118" s="90">
        <v>2.4</v>
      </c>
      <c r="N118" s="134">
        <v>2.3610000000000002</v>
      </c>
      <c r="O118" s="90">
        <v>2.36</v>
      </c>
    </row>
    <row r="119" spans="2:15" s="83" customFormat="1" ht="16.350000000000001" customHeight="1">
      <c r="B119" s="84" t="s">
        <v>134</v>
      </c>
      <c r="C119" s="85" t="s">
        <v>65</v>
      </c>
      <c r="D119" s="85"/>
      <c r="E119" s="90">
        <v>3.2709999999999999</v>
      </c>
      <c r="F119" s="90">
        <v>3.3330000000000002</v>
      </c>
      <c r="G119" s="90">
        <v>3.43</v>
      </c>
      <c r="H119" s="90">
        <v>3.4119999999999999</v>
      </c>
      <c r="I119" s="90">
        <v>3.528</v>
      </c>
      <c r="J119" s="90">
        <v>3.516</v>
      </c>
      <c r="K119" s="90">
        <v>3.456</v>
      </c>
      <c r="L119" s="90">
        <v>3.4489999999999998</v>
      </c>
      <c r="M119" s="90">
        <v>3.5</v>
      </c>
      <c r="N119" s="134">
        <v>3.629</v>
      </c>
      <c r="O119" s="90">
        <v>3.12</v>
      </c>
    </row>
    <row r="120" spans="2:15" s="83" customFormat="1" ht="16.350000000000001" customHeight="1">
      <c r="B120" s="84" t="s">
        <v>135</v>
      </c>
      <c r="C120" s="85" t="s">
        <v>65</v>
      </c>
      <c r="D120" s="85"/>
      <c r="E120" s="90">
        <v>1.1040000000000001</v>
      </c>
      <c r="F120" s="90">
        <v>1.111</v>
      </c>
      <c r="G120" s="90">
        <v>1.0840000000000001</v>
      </c>
      <c r="H120" s="90">
        <v>1.111</v>
      </c>
      <c r="I120" s="90">
        <v>1.127</v>
      </c>
      <c r="J120" s="90">
        <v>1.109</v>
      </c>
      <c r="K120" s="90">
        <v>1.08</v>
      </c>
      <c r="L120" s="90">
        <v>1.117</v>
      </c>
      <c r="M120" s="90">
        <v>1.2</v>
      </c>
      <c r="N120" s="134">
        <v>1.1259999999999999</v>
      </c>
      <c r="O120" s="90">
        <v>1.1399999999999999</v>
      </c>
    </row>
    <row r="121" spans="2:15" s="83" customFormat="1" ht="16.350000000000001" customHeight="1">
      <c r="B121" s="84" t="s">
        <v>136</v>
      </c>
      <c r="C121" s="85" t="s">
        <v>65</v>
      </c>
      <c r="D121" s="85"/>
      <c r="E121" s="90">
        <v>2.7730000000000001</v>
      </c>
      <c r="F121" s="90">
        <v>2.7730000000000001</v>
      </c>
      <c r="G121" s="90">
        <v>2.7730000000000001</v>
      </c>
      <c r="H121" s="90">
        <v>2.7730000000000001</v>
      </c>
      <c r="I121" s="90">
        <v>2.7730000000000001</v>
      </c>
      <c r="J121" s="90">
        <v>2.7730000000000001</v>
      </c>
      <c r="K121" s="90">
        <v>2.7730000000000001</v>
      </c>
      <c r="L121" s="90">
        <v>2.7730000000000001</v>
      </c>
      <c r="M121" s="90">
        <v>2.8</v>
      </c>
      <c r="N121" s="134">
        <v>2.7730000000000001</v>
      </c>
      <c r="O121" s="90">
        <v>2.77</v>
      </c>
    </row>
    <row r="122" spans="2:15" s="83" customFormat="1" ht="27" customHeight="1">
      <c r="B122" s="84" t="s">
        <v>137</v>
      </c>
      <c r="C122" s="85" t="s">
        <v>65</v>
      </c>
      <c r="D122" s="85"/>
      <c r="E122" s="90">
        <v>6.5069999999999997</v>
      </c>
      <c r="F122" s="90">
        <v>6.4240000000000004</v>
      </c>
      <c r="G122" s="90">
        <v>2.6440000000000001</v>
      </c>
      <c r="H122" s="90">
        <v>4.4039999999999999</v>
      </c>
      <c r="I122" s="90">
        <v>6.2009999999999996</v>
      </c>
      <c r="J122" s="90">
        <v>6.2910000000000004</v>
      </c>
      <c r="K122" s="90">
        <v>5.7370000000000001</v>
      </c>
      <c r="L122" s="90">
        <v>7.5490000000000004</v>
      </c>
      <c r="M122" s="90">
        <v>7.3</v>
      </c>
      <c r="N122" s="134">
        <v>7.4240000000000004</v>
      </c>
      <c r="O122" s="90">
        <v>7.53</v>
      </c>
    </row>
    <row r="123" spans="2:15" s="83" customFormat="1" ht="26.25" customHeight="1">
      <c r="B123" s="84" t="s">
        <v>138</v>
      </c>
      <c r="C123" s="85" t="s">
        <v>65</v>
      </c>
      <c r="D123" s="85"/>
      <c r="E123" s="90">
        <v>3.7280000000000002</v>
      </c>
      <c r="F123" s="90">
        <v>4.5380000000000003</v>
      </c>
      <c r="G123" s="90">
        <v>3.0630000000000002</v>
      </c>
      <c r="H123" s="90">
        <v>3.1589999999999998</v>
      </c>
      <c r="I123" s="90">
        <v>3.944</v>
      </c>
      <c r="J123" s="90">
        <v>4.4820000000000002</v>
      </c>
      <c r="K123" s="90">
        <v>5.0999999999999996</v>
      </c>
      <c r="L123" s="90">
        <v>5.3719999999999999</v>
      </c>
      <c r="M123" s="90">
        <v>5.8</v>
      </c>
      <c r="N123" s="134">
        <v>5.4669999999999996</v>
      </c>
      <c r="O123" s="90">
        <v>4.63</v>
      </c>
    </row>
    <row r="124" spans="2:15" s="83" customFormat="1" ht="16.350000000000001" customHeight="1">
      <c r="B124" s="84" t="s">
        <v>139</v>
      </c>
      <c r="C124" s="85" t="s">
        <v>65</v>
      </c>
      <c r="D124" s="85"/>
      <c r="E124" s="90">
        <v>22.497</v>
      </c>
      <c r="F124" s="90">
        <v>10.742000000000001</v>
      </c>
      <c r="G124" s="90">
        <v>23.09</v>
      </c>
      <c r="H124" s="90">
        <v>1.873</v>
      </c>
      <c r="I124" s="90">
        <v>1</v>
      </c>
      <c r="J124" s="90">
        <v>1.5629999999999999</v>
      </c>
      <c r="K124" s="90">
        <v>9.9879999999999995</v>
      </c>
      <c r="L124" s="90">
        <v>0.45800000000000002</v>
      </c>
      <c r="M124" s="90"/>
      <c r="N124" s="134">
        <v>10.911</v>
      </c>
      <c r="O124" s="90">
        <v>13.4</v>
      </c>
    </row>
    <row r="125" spans="2:15" s="83" customFormat="1" ht="16.350000000000001" customHeight="1">
      <c r="B125" s="84" t="s">
        <v>140</v>
      </c>
      <c r="C125" s="85" t="s">
        <v>65</v>
      </c>
      <c r="D125" s="85"/>
      <c r="E125" s="90">
        <v>89.563000000000002</v>
      </c>
      <c r="F125" s="90">
        <v>90.325000000000003</v>
      </c>
      <c r="G125" s="90">
        <v>99.116</v>
      </c>
      <c r="H125" s="90">
        <v>17.792999999999999</v>
      </c>
      <c r="I125" s="90">
        <v>109.85899999999999</v>
      </c>
      <c r="J125" s="90">
        <v>113.255</v>
      </c>
      <c r="K125" s="90">
        <v>107.297</v>
      </c>
      <c r="L125" s="90">
        <v>106.90900000000001</v>
      </c>
      <c r="M125" s="90">
        <v>117.7</v>
      </c>
      <c r="N125" s="134">
        <v>122.258</v>
      </c>
      <c r="O125" s="90">
        <v>125.78</v>
      </c>
    </row>
    <row r="126" spans="2:15" s="83" customFormat="1" ht="18" customHeight="1">
      <c r="B126" s="84" t="s">
        <v>141</v>
      </c>
      <c r="C126" s="85" t="s">
        <v>65</v>
      </c>
      <c r="D126" s="85"/>
      <c r="E126" s="90">
        <v>8.8829999999999991</v>
      </c>
      <c r="F126" s="90">
        <v>49.953000000000003</v>
      </c>
      <c r="G126" s="90">
        <v>103.06399999999999</v>
      </c>
      <c r="H126" s="90">
        <v>99.447999999999993</v>
      </c>
      <c r="I126" s="90">
        <v>97.903000000000006</v>
      </c>
      <c r="J126" s="90">
        <v>134.29</v>
      </c>
      <c r="K126" s="90">
        <v>181.33</v>
      </c>
      <c r="L126" s="90">
        <v>189.49700000000001</v>
      </c>
      <c r="M126" s="90">
        <v>186.7</v>
      </c>
      <c r="N126" s="134">
        <v>238.84700000000001</v>
      </c>
      <c r="O126" s="90">
        <v>289.14</v>
      </c>
    </row>
    <row r="127" spans="2:15" s="83" customFormat="1" ht="16.350000000000001" customHeight="1">
      <c r="B127" s="84" t="s">
        <v>142</v>
      </c>
      <c r="C127" s="85" t="s">
        <v>65</v>
      </c>
      <c r="D127" s="85"/>
      <c r="E127" s="90">
        <v>221.88200000000001</v>
      </c>
      <c r="F127" s="90">
        <v>218.703</v>
      </c>
      <c r="G127" s="90">
        <v>220.351</v>
      </c>
      <c r="H127" s="90">
        <v>224.697</v>
      </c>
      <c r="I127" s="90">
        <v>221.27799999999999</v>
      </c>
      <c r="J127" s="90">
        <v>228.017</v>
      </c>
      <c r="K127" s="90">
        <v>233.184</v>
      </c>
      <c r="L127" s="90">
        <v>227.21700000000001</v>
      </c>
      <c r="M127" s="90">
        <v>234.4</v>
      </c>
      <c r="N127" s="134">
        <v>246.62299999999999</v>
      </c>
      <c r="O127" s="90">
        <v>254.44</v>
      </c>
    </row>
    <row r="128" spans="2:15" s="83" customFormat="1" ht="16.350000000000001" customHeight="1">
      <c r="B128" s="84" t="s">
        <v>143</v>
      </c>
      <c r="C128" s="85" t="s">
        <v>65</v>
      </c>
      <c r="D128" s="85"/>
      <c r="E128" s="90">
        <v>88.414000000000001</v>
      </c>
      <c r="F128" s="90">
        <v>83.727000000000004</v>
      </c>
      <c r="G128" s="90">
        <v>84.528000000000006</v>
      </c>
      <c r="H128" s="90">
        <v>83.269000000000005</v>
      </c>
      <c r="I128" s="90">
        <v>90</v>
      </c>
      <c r="J128" s="90">
        <v>87.2</v>
      </c>
      <c r="K128" s="90">
        <v>84.629000000000005</v>
      </c>
      <c r="L128" s="90">
        <v>71.415999999999997</v>
      </c>
      <c r="M128" s="90">
        <v>101.3</v>
      </c>
      <c r="N128" s="134">
        <v>111.182</v>
      </c>
      <c r="O128" s="90">
        <v>106.83</v>
      </c>
    </row>
    <row r="129" spans="2:15" s="83" customFormat="1" ht="15.75" customHeight="1">
      <c r="B129" s="84" t="s">
        <v>144</v>
      </c>
      <c r="C129" s="85" t="s">
        <v>65</v>
      </c>
      <c r="D129" s="85"/>
      <c r="E129" s="90">
        <v>259.01299999999998</v>
      </c>
      <c r="F129" s="90">
        <v>267.48700000000002</v>
      </c>
      <c r="G129" s="90">
        <v>263.34500000000003</v>
      </c>
      <c r="H129" s="90">
        <v>291.88</v>
      </c>
      <c r="I129" s="90">
        <v>303.23599999999999</v>
      </c>
      <c r="J129" s="90">
        <v>311.65699999999998</v>
      </c>
      <c r="K129" s="90">
        <v>298.15899999999999</v>
      </c>
      <c r="L129" s="90">
        <v>323.13799999999998</v>
      </c>
      <c r="M129" s="90">
        <v>339</v>
      </c>
      <c r="N129" s="134">
        <v>432.82400000000001</v>
      </c>
      <c r="O129" s="90">
        <v>450.87</v>
      </c>
    </row>
    <row r="130" spans="2:15" s="83" customFormat="1" ht="16.350000000000001" customHeight="1">
      <c r="B130" s="84" t="s">
        <v>145</v>
      </c>
      <c r="C130" s="85" t="s">
        <v>65</v>
      </c>
      <c r="D130" s="85"/>
      <c r="E130" s="90">
        <v>1526.163</v>
      </c>
      <c r="F130" s="90">
        <v>1496.49</v>
      </c>
      <c r="G130" s="90">
        <v>1504.904</v>
      </c>
      <c r="H130" s="90">
        <v>1590.598</v>
      </c>
      <c r="I130" s="90">
        <v>1667.768</v>
      </c>
      <c r="J130" s="90">
        <v>1626.4459999999999</v>
      </c>
      <c r="K130" s="90">
        <v>1594.729</v>
      </c>
      <c r="L130" s="90">
        <v>1739.433</v>
      </c>
      <c r="M130" s="90">
        <v>1751.2</v>
      </c>
      <c r="N130" s="134">
        <v>1096.1110000000001</v>
      </c>
      <c r="O130" s="90">
        <v>1093.9000000000001</v>
      </c>
    </row>
    <row r="131" spans="2:15" s="83" customFormat="1" ht="16.350000000000001" customHeight="1">
      <c r="B131" s="84" t="s">
        <v>146</v>
      </c>
      <c r="C131" s="85" t="s">
        <v>65</v>
      </c>
      <c r="D131" s="85"/>
      <c r="E131" s="90">
        <v>1.98</v>
      </c>
      <c r="F131" s="90">
        <v>1.7649999999999999</v>
      </c>
      <c r="G131" s="90">
        <v>1.65</v>
      </c>
      <c r="H131" s="90">
        <v>1.6379999999999999</v>
      </c>
      <c r="I131" s="90">
        <v>4.109</v>
      </c>
      <c r="J131" s="90">
        <v>4.5819999999999999</v>
      </c>
      <c r="K131" s="90">
        <v>5.18</v>
      </c>
      <c r="L131" s="90">
        <v>4.2519999999999998</v>
      </c>
      <c r="M131" s="90">
        <v>5</v>
      </c>
      <c r="N131" s="134">
        <v>4.931</v>
      </c>
      <c r="O131" s="90">
        <v>5.32</v>
      </c>
    </row>
  </sheetData>
  <phoneticPr fontId="6" type="noConversion"/>
  <pageMargins left="0.70866141732283472" right="0.70866141732283472" top="0.15748031496062992" bottom="0.15748031496062992" header="0.31496062992125984" footer="0.31496062992125984"/>
  <pageSetup paperSize="9" scale="39" fitToWidth="0" orientation="portrait" r:id="rId1"/>
  <headerFooter scaleWithDoc="0"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1:AK168"/>
  <sheetViews>
    <sheetView zoomScale="85" zoomScaleNormal="85" workbookViewId="0">
      <pane xSplit="3" ySplit="1" topLeftCell="U11" activePane="bottomRight" state="frozen"/>
      <selection pane="topRight" activeCell="D1" sqref="D1"/>
      <selection pane="bottomLeft" activeCell="A2" sqref="A2"/>
      <selection pane="bottomRight" activeCell="AJ60" sqref="AJ60"/>
    </sheetView>
  </sheetViews>
  <sheetFormatPr defaultColWidth="8" defaultRowHeight="12.75"/>
  <cols>
    <col min="1" max="1" width="8" style="7"/>
    <col min="2" max="2" width="39.73046875" style="15" customWidth="1"/>
    <col min="3" max="3" width="9" style="15" bestFit="1" customWidth="1"/>
    <col min="4" max="4" width="7.73046875" style="15" customWidth="1"/>
    <col min="5" max="5" width="9.86328125" style="7" bestFit="1" customWidth="1"/>
    <col min="6" max="28" width="8" style="7"/>
    <col min="29" max="29" width="8.1328125" style="7" customWidth="1"/>
    <col min="30" max="16384" width="8" style="7"/>
  </cols>
  <sheetData>
    <row r="1" spans="1:37" s="6" customFormat="1" ht="15.75" customHeight="1" thickBot="1">
      <c r="A1" s="3" t="s">
        <v>4</v>
      </c>
      <c r="B1" s="4"/>
      <c r="C1" s="4" t="s">
        <v>20</v>
      </c>
      <c r="D1" s="4" t="s">
        <v>21</v>
      </c>
      <c r="E1" s="19">
        <v>44927</v>
      </c>
      <c r="F1" s="19">
        <v>44958</v>
      </c>
      <c r="G1" s="19">
        <v>44986</v>
      </c>
      <c r="H1" s="19">
        <v>45017</v>
      </c>
      <c r="I1" s="19">
        <v>45047</v>
      </c>
      <c r="J1" s="19">
        <v>45078</v>
      </c>
      <c r="K1" s="19">
        <v>45108</v>
      </c>
      <c r="L1" s="19">
        <v>45139</v>
      </c>
      <c r="M1" s="19">
        <v>45170</v>
      </c>
      <c r="N1" s="19">
        <v>45200</v>
      </c>
      <c r="O1" s="19">
        <v>45231</v>
      </c>
      <c r="P1" s="19">
        <v>45261</v>
      </c>
      <c r="Q1" s="19">
        <v>45292</v>
      </c>
      <c r="R1" s="19">
        <v>45323</v>
      </c>
      <c r="S1" s="19">
        <v>45352</v>
      </c>
      <c r="T1" s="19">
        <v>45383</v>
      </c>
      <c r="U1" s="19">
        <v>45413</v>
      </c>
      <c r="V1" s="19">
        <v>45444</v>
      </c>
      <c r="W1" s="19">
        <v>45474</v>
      </c>
      <c r="X1" s="19">
        <v>45505</v>
      </c>
      <c r="Y1" s="19">
        <v>45536</v>
      </c>
      <c r="Z1" s="19">
        <v>45566</v>
      </c>
      <c r="AA1" s="19">
        <v>45597</v>
      </c>
      <c r="AB1" s="19">
        <v>45627</v>
      </c>
      <c r="AC1" s="19">
        <v>45658</v>
      </c>
      <c r="AD1" s="19">
        <v>45689</v>
      </c>
      <c r="AE1" s="19">
        <v>45717</v>
      </c>
      <c r="AF1" s="19">
        <v>45748</v>
      </c>
      <c r="AG1" s="19">
        <v>45778</v>
      </c>
      <c r="AH1" s="19">
        <v>45809</v>
      </c>
      <c r="AI1" s="19">
        <v>45839</v>
      </c>
      <c r="AJ1" s="19">
        <v>45870</v>
      </c>
      <c r="AK1" s="19">
        <v>45901</v>
      </c>
    </row>
    <row r="2" spans="1:37" ht="16.350000000000001" customHeight="1">
      <c r="B2" s="44" t="s">
        <v>111</v>
      </c>
      <c r="C2" s="9" t="s">
        <v>110</v>
      </c>
      <c r="D2" s="37"/>
      <c r="E2" s="64">
        <f>'[12] Физический_ежемесячный'!E7</f>
        <v>227744558.10109997</v>
      </c>
      <c r="F2" s="64">
        <f>'[12] Физический_ежемесячный'!F7</f>
        <v>206887616.76999998</v>
      </c>
      <c r="G2" s="64">
        <f>'[12] Физический_ежемесячный'!G7</f>
        <v>203639244.67000002</v>
      </c>
      <c r="H2" s="64">
        <f>'[12] Физический_ежемесячный'!H7</f>
        <v>200644111.35999995</v>
      </c>
      <c r="I2" s="64">
        <f>'[12] Физический_ежемесячный'!I7</f>
        <v>215482320.75</v>
      </c>
      <c r="J2" s="64">
        <f>'[12] Физический_ежемесячный'!J7</f>
        <v>218106299.38</v>
      </c>
      <c r="K2" s="64">
        <f>'[12] Физический_ежемесячный'!K7</f>
        <v>243328106.37</v>
      </c>
      <c r="L2" s="64">
        <f>'[12] Физический_ежемесячный'!L7</f>
        <v>248277212.83000004</v>
      </c>
      <c r="M2" s="64">
        <f>'[12] Физический_ежемесячный'!M7</f>
        <v>229832231.44120002</v>
      </c>
      <c r="N2" s="64">
        <f>'[12] Физический_ежемесячный'!N7</f>
        <v>233389196.87440002</v>
      </c>
      <c r="O2" s="64">
        <f>'[12] Физический_ежемесячный'!O7</f>
        <v>248220331.84999996</v>
      </c>
      <c r="P2" s="64">
        <f>'[12] Физический_ежемесячный'!P7</f>
        <v>284202062.37000006</v>
      </c>
      <c r="Q2" s="64">
        <f>'[12] Физический_ежемесячный'!Q7</f>
        <v>277521043.20000005</v>
      </c>
      <c r="R2" s="64">
        <f>'[12] Физический_ежемесячный'!R7</f>
        <v>253405215.95000005</v>
      </c>
      <c r="S2" s="64">
        <f>'[12] Физический_ежемесячный'!S7</f>
        <v>224166536.05000004</v>
      </c>
      <c r="T2" s="64">
        <f>'[12] Физический_ежемесячный'!T7</f>
        <v>227282925.07999995</v>
      </c>
      <c r="U2" s="64">
        <f>'[12] Физический_ежемесячный'!U7</f>
        <v>252796856.75</v>
      </c>
      <c r="V2" s="64">
        <f>'[12] Физический_ежемесячный'!V7</f>
        <v>255287504.87</v>
      </c>
      <c r="W2" s="64">
        <f>'[12] Физический_ежемесячный'!W7</f>
        <v>284438789.01799995</v>
      </c>
      <c r="X2" s="64">
        <f>'[12] Физический_ежемесячный'!X7</f>
        <v>298744712.57080007</v>
      </c>
      <c r="Y2" s="64">
        <f>'[12] Физический_ежемесячный'!Y7</f>
        <v>273391467.45970005</v>
      </c>
      <c r="Z2" s="64">
        <f>'[12] Физический_ежемесячный'!Z7</f>
        <v>284017877.44199997</v>
      </c>
      <c r="AA2" s="64">
        <f>'[12] Физический_ежемесячный'!AA7</f>
        <v>302301279.12159997</v>
      </c>
      <c r="AB2" s="64">
        <f>'[12] Физический_ежемесячный'!AB7</f>
        <v>323603318.87070006</v>
      </c>
      <c r="AC2" s="64">
        <v>321363652.4205001</v>
      </c>
      <c r="AD2" s="64">
        <v>308206452.94199997</v>
      </c>
      <c r="AE2" s="64">
        <v>292288845.50660002</v>
      </c>
      <c r="AF2" s="64">
        <f>'[12] Физический_ежемесячный'!AF7</f>
        <v>282985298.5097</v>
      </c>
      <c r="AG2" s="64">
        <f>'[12] Физический_ежемесячный'!AG7</f>
        <v>336633625.31809986</v>
      </c>
      <c r="AH2" s="64">
        <f>'[12] Физический_ежемесячный'!AH7</f>
        <v>347400585.4696002</v>
      </c>
      <c r="AI2" s="64">
        <f>'[14] Физический_ежемесячный'!AI7</f>
        <v>387962289.96449995</v>
      </c>
      <c r="AJ2" s="64">
        <f>'[14] Физический_ежемесячный'!AJ7</f>
        <v>387761035.398</v>
      </c>
      <c r="AK2" s="64">
        <f>'[14] Физический_ежемесячный'!AK7</f>
        <v>365779393.50180006</v>
      </c>
    </row>
    <row r="3" spans="1:37" ht="16.350000000000001" customHeight="1">
      <c r="B3" s="40" t="s">
        <v>112</v>
      </c>
      <c r="C3" s="9" t="s">
        <v>110</v>
      </c>
      <c r="D3" s="39"/>
      <c r="E3" s="64">
        <f>'[12] Физический_ежемесячный'!E8</f>
        <v>1017074</v>
      </c>
      <c r="F3" s="64">
        <f>'[12] Физический_ежемесячный'!F8</f>
        <v>246204</v>
      </c>
      <c r="G3" s="64">
        <f>'[12] Физический_ежемесячный'!G8</f>
        <v>2539158.4</v>
      </c>
      <c r="H3" s="64">
        <f>'[12] Физический_ежемесячный'!H8</f>
        <v>3903742.8</v>
      </c>
      <c r="I3" s="64">
        <f>'[12] Физический_ежемесячный'!I8</f>
        <v>605849.73000000045</v>
      </c>
      <c r="J3" s="64">
        <f>'[12] Физический_ежемесячный'!J8</f>
        <v>-2573548.7100000009</v>
      </c>
      <c r="K3" s="64">
        <f>'[12] Физический_ежемесячный'!K8</f>
        <v>614114.73000000045</v>
      </c>
      <c r="L3" s="64">
        <f>'[12] Физический_ежемесячный'!L8</f>
        <v>434483.26999999955</v>
      </c>
      <c r="M3" s="64">
        <f>'[12] Физический_ежемесячный'!M8</f>
        <v>585582.55000000075</v>
      </c>
      <c r="N3" s="64">
        <f>'[12] Физический_ежемесячный'!N8</f>
        <v>884865.73000000045</v>
      </c>
      <c r="O3" s="64">
        <f>'[12] Физический_ежемесячный'!O8</f>
        <v>774647.1799999997</v>
      </c>
      <c r="P3" s="64">
        <f>'[12] Физический_ежемесячный'!P8</f>
        <v>865495.3599999994</v>
      </c>
      <c r="Q3" s="64">
        <f>'[12] Физический_ежемесячный'!Q8</f>
        <v>706115.26999999955</v>
      </c>
      <c r="R3" s="64">
        <f>'[12] Физический_ежемесячный'!R8</f>
        <v>659839.1799999997</v>
      </c>
      <c r="S3" s="64">
        <f>'[12] Физический_ежемесячный'!S8</f>
        <v>714582.36359999981</v>
      </c>
      <c r="T3" s="64">
        <f>'[12] Физический_ежемесячный'!T8</f>
        <v>638704.08999999985</v>
      </c>
      <c r="U3" s="64">
        <f>'[12] Физический_ежемесячный'!U8</f>
        <v>320309.54549999908</v>
      </c>
      <c r="V3" s="64">
        <f>'[12] Физический_ежемесячный'!V8</f>
        <v>612775.09008999914</v>
      </c>
      <c r="W3" s="64">
        <f>'[12] Физический_ежемесячный'!W8</f>
        <v>884770.81799999997</v>
      </c>
      <c r="X3" s="64">
        <f>'[12] Физический_ежемесячный'!X8</f>
        <v>758352.54549999908</v>
      </c>
      <c r="Y3" s="64">
        <f>'[12] Физический_ежемесячный'!Y8</f>
        <v>711202.90919999965</v>
      </c>
      <c r="Z3" s="64">
        <f>'[12] Физический_ежемесячный'!Z8</f>
        <v>691312.90000000037</v>
      </c>
      <c r="AA3" s="64">
        <f>'[12] Физический_ежемесячный'!AA8</f>
        <v>1395158.4545999998</v>
      </c>
      <c r="AB3" s="64">
        <f>'[12] Физический_ежемесячный'!AB8</f>
        <v>806634</v>
      </c>
      <c r="AC3" s="64">
        <v>839094.27270000009</v>
      </c>
      <c r="AD3" s="64">
        <v>759525.98</v>
      </c>
      <c r="AE3" s="64">
        <v>1591054.4453999996</v>
      </c>
      <c r="AF3" s="64">
        <f>'[12] Физический_ежемесячный'!AF8</f>
        <v>350144.88189999992</v>
      </c>
      <c r="AG3" s="64">
        <f>'[12] Физический_ежемесячный'!AG8</f>
        <v>753870.36369999964</v>
      </c>
      <c r="AH3" s="64">
        <f>'[12] Физический_ежемесячный'!AH8</f>
        <v>642217.36360000074</v>
      </c>
      <c r="AI3" s="64">
        <f>'[14] Физический_ежемесячный'!AI8</f>
        <v>968920.72729999945</v>
      </c>
      <c r="AJ3" s="64">
        <f>'[14] Физический_ежемесячный'!AJ8</f>
        <v>970406.00899999961</v>
      </c>
      <c r="AK3" s="64">
        <f>'[14] Физический_ежемесячный'!AK8</f>
        <v>998274.74540000036</v>
      </c>
    </row>
    <row r="4" spans="1:37" ht="16.350000000000001" customHeight="1">
      <c r="B4" s="40" t="s">
        <v>113</v>
      </c>
      <c r="C4" s="9" t="s">
        <v>110</v>
      </c>
      <c r="D4" s="39"/>
      <c r="E4" s="64">
        <f>'[12] Физический_ежемесячный'!E9</f>
        <v>2915733.1124</v>
      </c>
      <c r="F4" s="64">
        <f>'[12] Физический_ежемесячный'!F9</f>
        <v>2424314.94</v>
      </c>
      <c r="G4" s="64">
        <f>'[12] Физический_ежемесячный'!G9</f>
        <v>1707546.2</v>
      </c>
      <c r="H4" s="64">
        <f>'[12] Физический_ежемесячный'!H9</f>
        <v>1227051.28</v>
      </c>
      <c r="I4" s="64">
        <f>'[12] Физический_ежемесячный'!I9</f>
        <v>1072725.1299999999</v>
      </c>
      <c r="J4" s="64">
        <f>'[12] Физический_ежемесячный'!J9</f>
        <v>1206473.02</v>
      </c>
      <c r="K4" s="64">
        <f>'[12] Физический_ежемесячный'!K9</f>
        <v>2315487.25</v>
      </c>
      <c r="L4" s="64">
        <f>'[12] Физический_ежемесячный'!L9</f>
        <v>953878.36</v>
      </c>
      <c r="M4" s="64">
        <f>'[12] Физический_ежемесячный'!M9</f>
        <v>1044208.44</v>
      </c>
      <c r="N4" s="64">
        <f>'[12] Физический_ежемесячный'!N9</f>
        <v>1043061.96</v>
      </c>
      <c r="O4" s="64">
        <f>'[12] Физический_ежемесячный'!O9</f>
        <v>1902058.57</v>
      </c>
      <c r="P4" s="64">
        <f>'[12] Физический_ежемесячный'!P9</f>
        <v>2196219.2400000002</v>
      </c>
      <c r="Q4" s="64">
        <f>'[12] Физический_ежемесячный'!Q9</f>
        <v>1843028.76</v>
      </c>
      <c r="R4" s="64">
        <f>'[12] Физический_ежемесячный'!R9</f>
        <v>2280997.0300000003</v>
      </c>
      <c r="S4" s="64">
        <f>'[12] Физический_ежемесячный'!S9</f>
        <v>1368981.3900000001</v>
      </c>
      <c r="T4" s="64">
        <f>'[12] Физический_ежемесячный'!T9</f>
        <v>1195443.31</v>
      </c>
      <c r="U4" s="64">
        <f>'[12] Физический_ежемесячный'!U9</f>
        <v>1063413.19</v>
      </c>
      <c r="V4" s="64">
        <f>'[12] Физический_ежемесячный'!V9</f>
        <v>1014535</v>
      </c>
      <c r="W4" s="64">
        <f>'[12] Физический_ежемесячный'!W9</f>
        <v>1194590.31</v>
      </c>
      <c r="X4" s="64">
        <f>'[12] Физический_ежемесячный'!X9</f>
        <v>1174687.8999999999</v>
      </c>
      <c r="Y4" s="64">
        <f>'[12] Физический_ежемесячный'!Y9</f>
        <v>1113369.1499999999</v>
      </c>
      <c r="Z4" s="64">
        <f>'[12] Физический_ежемесячный'!Z9</f>
        <v>1439129.03</v>
      </c>
      <c r="AA4" s="64">
        <f>'[12] Физический_ежемесячный'!AA9</f>
        <v>1877230.26</v>
      </c>
      <c r="AB4" s="64">
        <f>'[12] Физический_ежемесячный'!AB9</f>
        <v>2613827.62</v>
      </c>
      <c r="AC4" s="64">
        <v>2616387.4299999997</v>
      </c>
      <c r="AD4" s="64">
        <v>2484663.2039999999</v>
      </c>
      <c r="AE4" s="64">
        <v>1568820.6330000001</v>
      </c>
      <c r="AF4" s="64">
        <f>'[12] Физический_ежемесячный'!AF9</f>
        <v>1167110.8530000001</v>
      </c>
      <c r="AG4" s="64">
        <f>'[12] Физический_ежемесячный'!AG9</f>
        <v>1359876.166</v>
      </c>
      <c r="AH4" s="64">
        <f>'[12] Физический_ежемесячный'!AH9</f>
        <v>1105592.25</v>
      </c>
      <c r="AI4" s="64">
        <f>'[14] Физический_ежемесячный'!AI9</f>
        <v>1975665.3389999999</v>
      </c>
      <c r="AJ4" s="64">
        <f>'[14] Физический_ежемесячный'!AJ9</f>
        <v>1422319.4750000001</v>
      </c>
      <c r="AK4" s="64">
        <f>'[14] Физический_ежемесячный'!AK9</f>
        <v>1294589.585</v>
      </c>
    </row>
    <row r="5" spans="1:37" ht="16.350000000000001" customHeight="1">
      <c r="B5" s="40" t="s">
        <v>114</v>
      </c>
      <c r="C5" s="9" t="s">
        <v>110</v>
      </c>
      <c r="D5" s="39"/>
      <c r="E5" s="64">
        <f>'[12] Физический_ежемесячный'!E10</f>
        <v>93097696.409999996</v>
      </c>
      <c r="F5" s="64">
        <f>'[12] Физический_ежемесячный'!F10</f>
        <v>65386672.289999999</v>
      </c>
      <c r="G5" s="64">
        <f>'[12] Физический_ежемесячный'!G10</f>
        <v>56038112.489999995</v>
      </c>
      <c r="H5" s="64">
        <f>'[12] Физический_ежемесячный'!H10</f>
        <v>35417602.770000003</v>
      </c>
      <c r="I5" s="64">
        <f>'[12] Физический_ежемесячный'!I10</f>
        <v>35348194.479999997</v>
      </c>
      <c r="J5" s="64">
        <f>'[12] Физический_ежемесячный'!J10</f>
        <v>38659482.080000006</v>
      </c>
      <c r="K5" s="64">
        <f>'[12] Физический_ежемесячный'!K10</f>
        <v>40480338.43</v>
      </c>
      <c r="L5" s="64">
        <f>'[12] Физический_ежемесячный'!L10</f>
        <v>38135441.630000003</v>
      </c>
      <c r="M5" s="64">
        <f>'[12] Физический_ежемесячный'!M10</f>
        <v>36720075.872000001</v>
      </c>
      <c r="N5" s="64">
        <f>'[12] Физический_ежемесячный'!N10</f>
        <v>39275639.280000001</v>
      </c>
      <c r="O5" s="64">
        <f>'[12] Физический_ежемесячный'!O10</f>
        <v>56189873.75999999</v>
      </c>
      <c r="P5" s="64">
        <f>'[12] Физический_ежемесячный'!P10</f>
        <v>71929789.879999995</v>
      </c>
      <c r="Q5" s="64">
        <f>'[12] Физический_ежемесячный'!Q10</f>
        <v>73634503.409999996</v>
      </c>
      <c r="R5" s="64">
        <f>'[12] Физический_ежемесячный'!R10</f>
        <v>75743670.139999986</v>
      </c>
      <c r="S5" s="64">
        <f>'[12] Физический_ежемесячный'!S10</f>
        <v>56023240.959999993</v>
      </c>
      <c r="T5" s="64">
        <f>'[12] Физический_ежемесячный'!T10</f>
        <v>40007971.799999997</v>
      </c>
      <c r="U5" s="64">
        <f>'[12] Физический_ежемесячный'!U10</f>
        <v>40072005</v>
      </c>
      <c r="V5" s="64">
        <f>'[12] Физический_ежемесячный'!V10</f>
        <v>39756947.890000001</v>
      </c>
      <c r="W5" s="64">
        <f>'[12] Физический_ежемесячный'!W10</f>
        <v>42840453.776999995</v>
      </c>
      <c r="X5" s="64">
        <f>'[12] Физический_ежемесячный'!X10</f>
        <v>45055964.497300006</v>
      </c>
      <c r="Y5" s="64">
        <f>'[12] Физический_ежемесячный'!Y10</f>
        <v>38820433.777000003</v>
      </c>
      <c r="Z5" s="64">
        <f>'[12] Физический_ежемесячный'!Z10</f>
        <v>44165708.979999997</v>
      </c>
      <c r="AA5" s="64">
        <f>'[12] Физический_ежемесячный'!AA10</f>
        <v>61852648.020499997</v>
      </c>
      <c r="AB5" s="64">
        <f>'[12] Физический_ежемесячный'!AB10</f>
        <v>77770223.990199998</v>
      </c>
      <c r="AC5" s="64">
        <v>85828871.453099996</v>
      </c>
      <c r="AD5" s="64">
        <v>70683613.091999993</v>
      </c>
      <c r="AE5" s="64">
        <v>67656138.863000005</v>
      </c>
      <c r="AF5" s="64">
        <f>'[12] Физический_ежемесячный'!AF10</f>
        <v>42339780.035900004</v>
      </c>
      <c r="AG5" s="64">
        <f>'[12] Физический_ежемесячный'!AG10</f>
        <v>40486575.288099997</v>
      </c>
      <c r="AH5" s="64">
        <f>'[12] Физический_ежемесячный'!AH10</f>
        <v>45911130.129699998</v>
      </c>
      <c r="AI5" s="64">
        <f>'[14] Физический_ежемесячный'!AI10</f>
        <v>49277767.8935</v>
      </c>
      <c r="AJ5" s="64">
        <f>'[14] Физический_ежемесячный'!AJ10</f>
        <v>45967832.543000005</v>
      </c>
      <c r="AK5" s="64">
        <f>'[14] Физический_ежемесячный'!AK10</f>
        <v>37495656.113700002</v>
      </c>
    </row>
    <row r="6" spans="1:37" ht="16.350000000000001" customHeight="1">
      <c r="B6" s="40" t="s">
        <v>85</v>
      </c>
      <c r="C6" s="9" t="s">
        <v>110</v>
      </c>
      <c r="D6" s="39"/>
      <c r="E6" s="64">
        <f>'[12] Физический_ежемесячный'!E11</f>
        <v>18198270.600000001</v>
      </c>
      <c r="F6" s="64">
        <f>'[12] Физический_ежемесячный'!F11</f>
        <v>14315692.800000001</v>
      </c>
      <c r="G6" s="64">
        <f>'[12] Физический_ежемесячный'!G11</f>
        <v>46294442</v>
      </c>
      <c r="H6" s="64">
        <f>'[12] Физический_ежемесячный'!H11</f>
        <v>217803941.32999998</v>
      </c>
      <c r="I6" s="64">
        <f>'[12] Физический_ежемесячный'!I11</f>
        <v>299513713.80000001</v>
      </c>
      <c r="J6" s="64">
        <f>'[12] Физический_ежемесячный'!J11</f>
        <v>370753819.30000001</v>
      </c>
      <c r="K6" s="64">
        <f>'[12] Физический_ежемесячный'!K11</f>
        <v>396854327.28999996</v>
      </c>
      <c r="L6" s="64">
        <f>'[12] Физический_ежемесячный'!L11</f>
        <v>356585721</v>
      </c>
      <c r="M6" s="64">
        <f>'[12] Физический_ежемесячный'!M11</f>
        <v>269738144.60000002</v>
      </c>
      <c r="N6" s="64">
        <f>'[12] Физический_ежемесячный'!N11</f>
        <v>40334051.079999998</v>
      </c>
      <c r="O6" s="64">
        <f>'[12] Физический_ежемесячный'!O11</f>
        <v>25132816.600000001</v>
      </c>
      <c r="P6" s="64">
        <f>'[12] Физический_ежемесячный'!P11</f>
        <v>25773216.800000001</v>
      </c>
      <c r="Q6" s="64">
        <f>'[12] Физический_ежемесячный'!Q11</f>
        <v>19907117.609999999</v>
      </c>
      <c r="R6" s="64">
        <f>'[12] Физический_ежемесячный'!R11</f>
        <v>25848911.890000001</v>
      </c>
      <c r="S6" s="64">
        <f>'[12] Физический_ежемесячный'!S11</f>
        <v>14710775.800000001</v>
      </c>
      <c r="T6" s="64">
        <f>'[12] Физический_ежемесячный'!T11</f>
        <v>108459389.2</v>
      </c>
      <c r="U6" s="64">
        <f>'[12] Физический_ежемесячный'!U11</f>
        <v>236908830.74000001</v>
      </c>
      <c r="V6" s="64">
        <f>'[12] Физический_ежемесячный'!V11</f>
        <v>283002690</v>
      </c>
      <c r="W6" s="64">
        <f>'[12] Физический_ежемесячный'!W11</f>
        <v>324487900.81999999</v>
      </c>
      <c r="X6" s="64">
        <f>'[12] Физический_ежемесячный'!X11</f>
        <v>349332419</v>
      </c>
      <c r="Y6" s="64">
        <f>'[12] Физический_ежемесячный'!Y11</f>
        <v>210700778.36000001</v>
      </c>
      <c r="Z6" s="64">
        <f>'[12] Физический_ежемесячный'!Z11</f>
        <v>48495745.979999997</v>
      </c>
      <c r="AA6" s="64">
        <f>'[12] Физический_ежемесячный'!AA11</f>
        <v>19411069.940000001</v>
      </c>
      <c r="AB6" s="64">
        <f>'[12] Физический_ежемесячный'!AB11</f>
        <v>11665700.6</v>
      </c>
      <c r="AC6" s="64">
        <v>16091620.039999999</v>
      </c>
      <c r="AD6" s="64">
        <v>15120745.300000001</v>
      </c>
      <c r="AE6" s="64">
        <v>33170412.690000001</v>
      </c>
      <c r="AF6" s="64">
        <f>'[12] Физический_ежемесячный'!AF11</f>
        <v>155642806.45999998</v>
      </c>
      <c r="AG6" s="64">
        <f>'[12] Физический_ежемесячный'!AG11</f>
        <v>334778057.70999998</v>
      </c>
      <c r="AH6" s="64">
        <f>'[12] Физический_ежемесячный'!AH11</f>
        <v>364418475.24000001</v>
      </c>
      <c r="AI6" s="64">
        <f>'[14] Физический_ежемесячный'!AI11</f>
        <v>407615523.68299997</v>
      </c>
      <c r="AJ6" s="64">
        <f>'[14] Физический_ежемесячный'!AJ11</f>
        <v>367052019.5</v>
      </c>
      <c r="AK6" s="64">
        <f>'[14] Физический_ежемесячный'!AK11</f>
        <v>239744377.11199999</v>
      </c>
    </row>
    <row r="7" spans="1:37" ht="16.350000000000001" customHeight="1">
      <c r="B7" s="40" t="s">
        <v>115</v>
      </c>
      <c r="C7" s="9" t="s">
        <v>110</v>
      </c>
      <c r="D7" s="39"/>
      <c r="E7" s="64">
        <f>'[12] Физический_ежемесячный'!E12</f>
        <v>75241240.460000008</v>
      </c>
      <c r="F7" s="64">
        <f>'[12] Физический_ежемесячный'!F12</f>
        <v>54065216.079999998</v>
      </c>
      <c r="G7" s="64">
        <f>'[12] Физический_ежемесячный'!G12</f>
        <v>56868185.239999995</v>
      </c>
      <c r="H7" s="64">
        <f>'[12] Физический_ежемесячный'!H12</f>
        <v>42361449.269999996</v>
      </c>
      <c r="I7" s="64">
        <f>'[12] Физический_ежемесячный'!I12</f>
        <v>59492908.480000004</v>
      </c>
      <c r="J7" s="64">
        <f>'[12] Физический_ежемесячный'!J12</f>
        <v>51036942.179999992</v>
      </c>
      <c r="K7" s="64">
        <f>'[12] Физический_ежемесячный'!K12</f>
        <v>50485299.170000002</v>
      </c>
      <c r="L7" s="64">
        <f>'[12] Физический_ежемесячный'!L12</f>
        <v>59118047.420000002</v>
      </c>
      <c r="M7" s="64">
        <f>'[12] Физический_ежемесячный'!M12</f>
        <v>44681484.920000002</v>
      </c>
      <c r="N7" s="64">
        <f>'[12] Физический_ежемесячный'!N12</f>
        <v>45121617.969999999</v>
      </c>
      <c r="O7" s="64">
        <f>'[12] Физический_ежемесячный'!O12</f>
        <v>61822604.190000005</v>
      </c>
      <c r="P7" s="64">
        <f>'[12] Физический_ежемесячный'!P12</f>
        <v>48327903.25</v>
      </c>
      <c r="Q7" s="64">
        <f>'[12] Физический_ежемесячный'!Q12</f>
        <v>54822523.149999999</v>
      </c>
      <c r="R7" s="64">
        <f>'[12] Физический_ежемесячный'!R12</f>
        <v>55628143.509999998</v>
      </c>
      <c r="S7" s="64">
        <f>'[12] Физический_ежемесячный'!S12</f>
        <v>46682009.109999999</v>
      </c>
      <c r="T7" s="64">
        <f>'[12] Физический_ежемесячный'!T12</f>
        <v>44694834.949999996</v>
      </c>
      <c r="U7" s="64">
        <f>'[12] Физический_ежемесячный'!U12</f>
        <v>44849324.32</v>
      </c>
      <c r="V7" s="64">
        <f>'[12] Физический_ежемесячный'!V12</f>
        <v>57789528.100000001</v>
      </c>
      <c r="W7" s="64">
        <f>'[12] Физический_ежемесячный'!W12</f>
        <v>63680096.719999999</v>
      </c>
      <c r="X7" s="64">
        <f>'[12] Физический_ежемесячный'!X12</f>
        <v>59570226.516000003</v>
      </c>
      <c r="Y7" s="64">
        <f>'[12] Физический_ежемесячный'!Y12</f>
        <v>51721368.147</v>
      </c>
      <c r="Z7" s="64">
        <f>'[12] Физический_ежемесячный'!Z12</f>
        <v>54452750.294</v>
      </c>
      <c r="AA7" s="64">
        <f>'[12] Физический_ежемесячный'!AA12</f>
        <v>62680761.970000006</v>
      </c>
      <c r="AB7" s="64">
        <f>'[12] Физический_ежемесячный'!AB12</f>
        <v>69344600.961999997</v>
      </c>
      <c r="AC7" s="64">
        <v>66045684.145999998</v>
      </c>
      <c r="AD7" s="64">
        <v>48391930.323000006</v>
      </c>
      <c r="AE7" s="64">
        <v>54009111.345999993</v>
      </c>
      <c r="AF7" s="64">
        <f>'[12] Физический_ежемесячный'!AF12</f>
        <v>35014450.952</v>
      </c>
      <c r="AG7" s="64">
        <f>'[12] Физический_ежемесячный'!AG12</f>
        <v>35134182.332999997</v>
      </c>
      <c r="AH7" s="64">
        <f>'[12] Физический_ежемесячный'!AH12</f>
        <v>42715721.157000005</v>
      </c>
      <c r="AI7" s="64">
        <f>'[14] Физический_ежемесячный'!AI12</f>
        <v>46899348.169</v>
      </c>
      <c r="AJ7" s="64">
        <f>'[14] Физический_ежемесячный'!AJ12</f>
        <v>45767179.559999995</v>
      </c>
      <c r="AK7" s="64">
        <f>'[14] Физический_ежемесячный'!AK12</f>
        <v>37290962.982000001</v>
      </c>
    </row>
    <row r="8" spans="1:37" ht="16.350000000000001" customHeight="1">
      <c r="B8" s="40" t="s">
        <v>116</v>
      </c>
      <c r="C8" s="9" t="s">
        <v>110</v>
      </c>
      <c r="D8" s="39"/>
      <c r="E8" s="64">
        <f>'[12] Физический_ежемесячный'!E13</f>
        <v>15474787</v>
      </c>
      <c r="F8" s="64">
        <f>'[12] Физический_ежемесячный'!F13</f>
        <v>7657110</v>
      </c>
      <c r="G8" s="64">
        <f>'[12] Физический_ежемесячный'!G13</f>
        <v>20501330</v>
      </c>
      <c r="H8" s="64">
        <f>'[12] Физический_ежемесячный'!H13</f>
        <v>12854566</v>
      </c>
      <c r="I8" s="64">
        <f>'[12] Физический_ежемесячный'!I13</f>
        <v>24268466</v>
      </c>
      <c r="J8" s="64">
        <f>'[12] Физический_ежемесячный'!J13</f>
        <v>35326210</v>
      </c>
      <c r="K8" s="64">
        <f>'[12] Физический_ежемесячный'!K13</f>
        <v>38143766</v>
      </c>
      <c r="L8" s="64">
        <f>'[12] Физический_ежемесячный'!L13</f>
        <v>25783042</v>
      </c>
      <c r="M8" s="64">
        <f>'[12] Физический_ежемесячный'!M13</f>
        <v>19446802</v>
      </c>
      <c r="N8" s="64">
        <f>'[12] Физический_ежемесячный'!N13</f>
        <v>9456863</v>
      </c>
      <c r="O8" s="64">
        <f>'[12] Физический_ежемесячный'!O13</f>
        <v>7824866</v>
      </c>
      <c r="P8" s="64">
        <f>'[12] Физический_ежемесячный'!P13</f>
        <v>12820333</v>
      </c>
      <c r="Q8" s="64">
        <f>'[12] Физический_ежемесячный'!Q13</f>
        <v>12423653.09</v>
      </c>
      <c r="R8" s="64">
        <f>'[12] Физический_ежемесячный'!R13</f>
        <v>8033740.5</v>
      </c>
      <c r="S8" s="64">
        <f>'[12] Физический_ежемесячный'!S13</f>
        <v>8606665</v>
      </c>
      <c r="T8" s="64">
        <f>'[12] Физический_ежемесячный'!T13</f>
        <v>21396398</v>
      </c>
      <c r="U8" s="64">
        <f>'[12] Физический_ежемесячный'!U13</f>
        <v>57961781</v>
      </c>
      <c r="V8" s="64">
        <f>'[12] Физический_ежемесячный'!V13</f>
        <v>105329493</v>
      </c>
      <c r="W8" s="64">
        <f>'[12] Физический_ежемесячный'!W13</f>
        <v>115068208</v>
      </c>
      <c r="X8" s="64">
        <f>'[12] Физический_ежемесячный'!X13</f>
        <v>60602428</v>
      </c>
      <c r="Y8" s="64">
        <f>'[12] Физический_ежемесячный'!Y13</f>
        <v>39754138</v>
      </c>
      <c r="Z8" s="64">
        <f>'[12] Физический_ежемесячный'!Z13</f>
        <v>16090448.629999999</v>
      </c>
      <c r="AA8" s="64">
        <f>'[12] Физический_ежемесячный'!AA13</f>
        <v>10691279</v>
      </c>
      <c r="AB8" s="64">
        <f>'[12] Физический_ежемесячный'!AB13</f>
        <v>13327065</v>
      </c>
      <c r="AC8" s="64">
        <v>11104826</v>
      </c>
      <c r="AD8" s="64">
        <v>11480067.34</v>
      </c>
      <c r="AE8" s="64">
        <v>20794960.594419673</v>
      </c>
      <c r="AF8" s="64">
        <f>'[12] Физический_ежемесячный'!AF13</f>
        <v>13920375.35</v>
      </c>
      <c r="AG8" s="64">
        <f>'[12] Физический_ежемесячный'!AG13</f>
        <v>11492762</v>
      </c>
      <c r="AH8" s="64">
        <f>'[12] Физический_ежемесячный'!AH13</f>
        <v>6913869.0899999999</v>
      </c>
      <c r="AI8" s="64">
        <f>'[14] Физический_ежемесячный'!AI13</f>
        <v>15036379</v>
      </c>
      <c r="AJ8" s="64">
        <f>'[14] Физический_ежемесячный'!AJ13</f>
        <v>8701709</v>
      </c>
      <c r="AK8" s="64">
        <f>'[14] Физический_ежемесячный'!AK13</f>
        <v>3791985.9279999998</v>
      </c>
    </row>
    <row r="9" spans="1:37" ht="16.350000000000001" customHeight="1">
      <c r="B9" s="40" t="s">
        <v>117</v>
      </c>
      <c r="C9" s="9" t="s">
        <v>110</v>
      </c>
      <c r="D9" s="39"/>
      <c r="E9" s="64">
        <f>'[12] Физический_ежемесячный'!E14</f>
        <v>145236168</v>
      </c>
      <c r="F9" s="64">
        <f>'[12] Физический_ежемесячный'!F14</f>
        <v>129472992</v>
      </c>
      <c r="G9" s="64">
        <f>'[12] Физический_ежемесячный'!G14</f>
        <v>139131093</v>
      </c>
      <c r="H9" s="64">
        <f>'[12] Физический_ежемесячный'!H14</f>
        <v>134681429</v>
      </c>
      <c r="I9" s="64">
        <f>'[12] Физический_ежемесячный'!I14</f>
        <v>141371385</v>
      </c>
      <c r="J9" s="64">
        <f>'[12] Физический_ежемесячный'!J14</f>
        <v>137855336</v>
      </c>
      <c r="K9" s="64">
        <f>'[12] Физический_ежемесячный'!K14</f>
        <v>145665716</v>
      </c>
      <c r="L9" s="64">
        <f>'[12] Физический_ежемесячный'!L14</f>
        <v>150318925</v>
      </c>
      <c r="M9" s="64">
        <f>'[12] Физический_ежемесячный'!M14</f>
        <v>146860330</v>
      </c>
      <c r="N9" s="64">
        <f>'[12] Физический_ежемесячный'!N14</f>
        <v>153010288.12</v>
      </c>
      <c r="O9" s="64">
        <f>'[12] Физический_ежемесячный'!O14</f>
        <v>149771612.50999999</v>
      </c>
      <c r="P9" s="64">
        <f>'[12] Физический_ежемесячный'!P14</f>
        <v>158533299</v>
      </c>
      <c r="Q9" s="64">
        <f>'[12] Физический_ежемесячный'!Q14</f>
        <v>162707398.66999999</v>
      </c>
      <c r="R9" s="64">
        <f>'[12] Физический_ежемесячный'!R14</f>
        <v>154388757</v>
      </c>
      <c r="S9" s="64">
        <f>'[12] Физический_ежемесячный'!S14</f>
        <v>164476146.72999999</v>
      </c>
      <c r="T9" s="64">
        <f>'[12] Физический_ежемесячный'!T14</f>
        <v>159548244.83000001</v>
      </c>
      <c r="U9" s="64">
        <f>'[12] Физический_ежемесячный'!U14</f>
        <v>166562468.84</v>
      </c>
      <c r="V9" s="64">
        <f>'[12] Физический_ежемесячный'!V14</f>
        <v>163173039.04000002</v>
      </c>
      <c r="W9" s="64">
        <f>'[12] Физический_ежемесячный'!W14</f>
        <v>171707607.05000001</v>
      </c>
      <c r="X9" s="64">
        <f>'[12] Физический_ежемесячный'!X14</f>
        <v>174936748.84999999</v>
      </c>
      <c r="Y9" s="64">
        <f>'[12] Физический_ежемесячный'!Y14</f>
        <v>170227406</v>
      </c>
      <c r="Z9" s="64">
        <f>'[12] Физический_ежемесячный'!Z14</f>
        <v>176329081.44999999</v>
      </c>
      <c r="AA9" s="64">
        <f>'[12] Физический_ежемесячный'!AA14</f>
        <v>176985424</v>
      </c>
      <c r="AB9" s="64">
        <f>'[12] Физический_ежемесячный'!AB14</f>
        <v>196717436</v>
      </c>
      <c r="AC9" s="64">
        <v>203941315</v>
      </c>
      <c r="AD9" s="64">
        <v>185319821</v>
      </c>
      <c r="AE9" s="64">
        <v>205862586</v>
      </c>
      <c r="AF9" s="64">
        <f>'[12] Физический_ежемесячный'!AF14</f>
        <v>198381413</v>
      </c>
      <c r="AG9" s="64">
        <f>'[12] Физический_ежемесячный'!AG14</f>
        <v>201225943.22</v>
      </c>
      <c r="AH9" s="64">
        <f>'[12] Физический_ежемесячный'!AH14</f>
        <v>188617853.13</v>
      </c>
      <c r="AI9" s="64">
        <f>'[14] Физический_ежемесячный'!AI14</f>
        <v>171850429.38</v>
      </c>
      <c r="AJ9" s="64">
        <f>'[14] Физический_ежемесячный'!AJ14</f>
        <v>164709235</v>
      </c>
      <c r="AK9" s="64">
        <f>'[14] Физический_ежемесячный'!AK14</f>
        <v>164198463</v>
      </c>
    </row>
    <row r="10" spans="1:37" ht="16.350000000000001" customHeight="1">
      <c r="B10" s="40" t="s">
        <v>118</v>
      </c>
      <c r="C10" s="9" t="s">
        <v>110</v>
      </c>
      <c r="D10" s="39"/>
      <c r="E10" s="64">
        <f>'[12] Физический_ежемесячный'!E15</f>
        <v>2480113</v>
      </c>
      <c r="F10" s="64">
        <f>'[12] Физический_ежемесячный'!F15</f>
        <v>1733209</v>
      </c>
      <c r="G10" s="64">
        <f>'[12] Физический_ежемесячный'!G15</f>
        <v>1202086</v>
      </c>
      <c r="H10" s="64">
        <f>'[12] Физический_ежемесячный'!H15</f>
        <v>1040154</v>
      </c>
      <c r="I10" s="64">
        <f>'[12] Физический_ежемесячный'!I15</f>
        <v>590707</v>
      </c>
      <c r="J10" s="64">
        <f>'[12] Физический_ежемесячный'!J15</f>
        <v>0</v>
      </c>
      <c r="K10" s="64">
        <f>'[12] Физический_ежемесячный'!K15</f>
        <v>0</v>
      </c>
      <c r="L10" s="64">
        <f>'[12] Физический_ежемесячный'!L15</f>
        <v>408752</v>
      </c>
      <c r="M10" s="64">
        <f>'[12] Физический_ежемесячный'!M15</f>
        <v>0</v>
      </c>
      <c r="N10" s="64">
        <f>'[12] Физический_ежемесячный'!N15</f>
        <v>0</v>
      </c>
      <c r="O10" s="64">
        <f>'[12] Физический_ежемесячный'!O15</f>
        <v>534352</v>
      </c>
      <c r="P10" s="64">
        <f>'[12] Физический_ежемесячный'!P15</f>
        <v>1807819</v>
      </c>
      <c r="Q10" s="64">
        <f>'[12] Физический_ежемесячный'!Q15</f>
        <v>2380405</v>
      </c>
      <c r="R10" s="64">
        <f>'[12] Физический_ежемесячный'!R15</f>
        <v>2383208</v>
      </c>
      <c r="S10" s="64">
        <f>'[12] Физический_ежемесячный'!S15</f>
        <v>1172602</v>
      </c>
      <c r="T10" s="64">
        <f>'[12] Физический_ежемесячный'!T15</f>
        <v>1087907</v>
      </c>
      <c r="U10" s="64">
        <f>'[12] Физический_ежемесячный'!U15</f>
        <v>1494689.1</v>
      </c>
      <c r="V10" s="64">
        <f>'[12] Физический_ежемесячный'!V15</f>
        <v>1371571</v>
      </c>
      <c r="W10" s="64">
        <f>'[12] Физический_ежемесячный'!W15</f>
        <v>1576607</v>
      </c>
      <c r="X10" s="64">
        <f>'[12] Физический_ежемесячный'!X15</f>
        <v>1851827</v>
      </c>
      <c r="Y10" s="64">
        <f>'[12] Физический_ежемесячный'!Y15</f>
        <v>1435405</v>
      </c>
      <c r="Z10" s="64">
        <f>'[12] Физический_ежемесячный'!Z15</f>
        <v>1401676</v>
      </c>
      <c r="AA10" s="64">
        <f>'[12] Физический_ежемесячный'!AA15</f>
        <v>2199821</v>
      </c>
      <c r="AB10" s="64">
        <f>'[12] Физический_ежемесячный'!AB15</f>
        <v>2993785</v>
      </c>
      <c r="AC10" s="64">
        <v>3259925</v>
      </c>
      <c r="AD10" s="64">
        <v>2457165</v>
      </c>
      <c r="AE10" s="64">
        <v>2057307</v>
      </c>
      <c r="AF10" s="64">
        <f>'[12] Физический_ежемесячный'!AF15</f>
        <v>1603013</v>
      </c>
      <c r="AG10" s="64">
        <f>'[12] Физический_ежемесячный'!AG15</f>
        <v>1679001</v>
      </c>
      <c r="AH10" s="64">
        <f>'[12] Физический_ежемесячный'!AH15</f>
        <v>1880385</v>
      </c>
      <c r="AI10" s="64">
        <f>'[14] Физический_ежемесячный'!AI15</f>
        <v>2108631</v>
      </c>
      <c r="AJ10" s="64">
        <f>'[14] Физический_ежемесячный'!AJ15</f>
        <v>2450282</v>
      </c>
      <c r="AK10" s="64">
        <f>'[14] Физический_ежемесячный'!AK15</f>
        <v>2169967</v>
      </c>
    </row>
    <row r="11" spans="1:37" ht="16.350000000000001" customHeight="1">
      <c r="B11" s="40" t="s">
        <v>101</v>
      </c>
      <c r="C11" s="9" t="s">
        <v>110</v>
      </c>
      <c r="D11" s="39"/>
      <c r="E11" s="64">
        <f>'[12] Физический_ежемесячный'!E16</f>
        <v>0</v>
      </c>
      <c r="F11" s="64">
        <f>'[12] Физический_ежемесячный'!F16</f>
        <v>0</v>
      </c>
      <c r="G11" s="64">
        <f>'[12] Физический_ежемесячный'!G16</f>
        <v>0</v>
      </c>
      <c r="H11" s="64">
        <f>'[12] Физический_ежемесячный'!H16</f>
        <v>0</v>
      </c>
      <c r="I11" s="64">
        <f>'[12] Физический_ежемесячный'!I16</f>
        <v>12981438</v>
      </c>
      <c r="J11" s="64">
        <f>'[12] Физический_ежемесячный'!J16</f>
        <v>22967732</v>
      </c>
      <c r="K11" s="64">
        <f>'[12] Физический_ежемесячный'!K16</f>
        <v>14125408</v>
      </c>
      <c r="L11" s="64">
        <f>'[12] Физический_ежемесячный'!L16</f>
        <v>15879022</v>
      </c>
      <c r="M11" s="64">
        <f>'[12] Физический_ежемесячный'!M16</f>
        <v>13898032</v>
      </c>
      <c r="N11" s="64">
        <f>'[12] Физический_ежемесячный'!N16</f>
        <v>13934624</v>
      </c>
      <c r="O11" s="64">
        <f>'[12] Физический_ежемесячный'!O16</f>
        <v>14633696</v>
      </c>
      <c r="P11" s="64">
        <f>'[12] Физический_ежемесячный'!P16</f>
        <v>8713344</v>
      </c>
      <c r="Q11" s="64">
        <f>'[12] Физический_ежемесячный'!Q16</f>
        <v>3988088</v>
      </c>
      <c r="R11" s="64">
        <f>'[12] Физический_ежемесячный'!R16</f>
        <v>6108810</v>
      </c>
      <c r="S11" s="64">
        <f>'[12] Физический_ежемесячный'!S16</f>
        <v>4579866</v>
      </c>
      <c r="T11" s="64">
        <f>'[12] Физический_ежемесячный'!T16</f>
        <v>4630798</v>
      </c>
      <c r="U11" s="64">
        <f>'[12] Физический_ежемесячный'!U16</f>
        <v>13783434</v>
      </c>
      <c r="V11" s="64">
        <f>'[12] Физический_ежемесячный'!V16</f>
        <v>14029250</v>
      </c>
      <c r="W11" s="64">
        <f>'[12] Физический_ежемесячный'!W16</f>
        <v>15096010</v>
      </c>
      <c r="X11" s="64">
        <f>'[12] Физический_ежемесячный'!X16</f>
        <v>15985252</v>
      </c>
      <c r="Y11" s="64">
        <f>'[12] Физический_ежемесячный'!Y16</f>
        <v>14391398</v>
      </c>
      <c r="Z11" s="64">
        <f>'[12] Физический_ежемесячный'!Z16</f>
        <v>11879566</v>
      </c>
      <c r="AA11" s="64">
        <f>'[12] Физический_ежемесячный'!AA16</f>
        <v>2354620</v>
      </c>
      <c r="AB11" s="64">
        <f>'[12] Физический_ежемесячный'!AB16</f>
        <v>469382</v>
      </c>
      <c r="AC11" s="64">
        <v>1408132</v>
      </c>
      <c r="AD11" s="64">
        <v>3994906.35</v>
      </c>
      <c r="AE11" s="64">
        <v>3355281</v>
      </c>
      <c r="AF11" s="64">
        <f>'[12] Физический_ежемесячный'!AF16</f>
        <v>2571550</v>
      </c>
      <c r="AG11" s="64">
        <f>'[12] Физический_ежемесячный'!AG16</f>
        <v>5545570</v>
      </c>
      <c r="AH11" s="64">
        <f>'[12] Физический_ежемесячный'!AH16</f>
        <v>13176399.529999999</v>
      </c>
      <c r="AI11" s="64">
        <f>'[14] Физический_ежемесячный'!AI16</f>
        <v>13353800</v>
      </c>
      <c r="AJ11" s="64">
        <f>'[14] Физический_ежемесячный'!AJ16</f>
        <v>15374000</v>
      </c>
      <c r="AK11" s="64">
        <f>'[14] Физический_ежемесячный'!AK16</f>
        <v>14392600</v>
      </c>
    </row>
    <row r="12" spans="1:37" ht="16.350000000000001" customHeight="1">
      <c r="B12" s="40" t="s">
        <v>86</v>
      </c>
      <c r="C12" s="9" t="s">
        <v>110</v>
      </c>
      <c r="D12" s="39"/>
      <c r="E12" s="64">
        <f>'[12] Физический_ежемесячный'!E17</f>
        <v>918834481.98000002</v>
      </c>
      <c r="F12" s="64">
        <f>'[12] Физический_ежемесячный'!F17</f>
        <v>629318933.5</v>
      </c>
      <c r="G12" s="64">
        <f>'[12] Физический_ежемесячный'!G17</f>
        <v>468483341.69999999</v>
      </c>
      <c r="H12" s="64">
        <f>'[12] Физический_ежемесячный'!H17</f>
        <v>399871676.99000001</v>
      </c>
      <c r="I12" s="64">
        <f>'[12] Физический_ежемесячный'!I17</f>
        <v>350379204.37000006</v>
      </c>
      <c r="J12" s="64">
        <f>'[12] Физический_ежемесячный'!J17</f>
        <v>355775342.06999993</v>
      </c>
      <c r="K12" s="64">
        <f>'[12] Физический_ежемесячный'!K17</f>
        <v>379678149.1500001</v>
      </c>
      <c r="L12" s="64">
        <f>'[12] Физический_ежемесячный'!L17</f>
        <v>359093242.87</v>
      </c>
      <c r="M12" s="64">
        <f>'[12] Физический_ежемесячный'!M17</f>
        <v>329878552.95999998</v>
      </c>
      <c r="N12" s="64">
        <f>'[12] Физический_ежемесячный'!N17</f>
        <v>384081294.06</v>
      </c>
      <c r="O12" s="64">
        <f>'[12] Физический_ежемесячный'!O17</f>
        <v>497647371.21999997</v>
      </c>
      <c r="P12" s="64">
        <f>'[12] Физический_ежемесячный'!P17</f>
        <v>758010023.17999995</v>
      </c>
      <c r="Q12" s="64">
        <f>'[12] Физический_ежемесячный'!Q17</f>
        <v>747335179.60000002</v>
      </c>
      <c r="R12" s="64">
        <f>'[12] Физический_ежемесячный'!R17</f>
        <v>714317631.70000005</v>
      </c>
      <c r="S12" s="64">
        <f>'[12] Физический_ежемесячный'!S17</f>
        <v>533068544.53000003</v>
      </c>
      <c r="T12" s="64">
        <f>'[12] Физический_ежемесячный'!T17</f>
        <v>401384861.71000004</v>
      </c>
      <c r="U12" s="64">
        <f>'[12] Физический_ежемесячный'!U17</f>
        <v>371793423.20000005</v>
      </c>
      <c r="V12" s="64">
        <f>'[12] Физический_ежемесячный'!V17</f>
        <v>378527171.95700002</v>
      </c>
      <c r="W12" s="64">
        <f>'[12] Физический_ежемесячный'!W17</f>
        <v>421417413.36799997</v>
      </c>
      <c r="X12" s="64">
        <f>'[12] Физический_ежемесячный'!X17</f>
        <v>431909591.51799995</v>
      </c>
      <c r="Y12" s="64">
        <f>'[12] Физический_ежемесячный'!Y17</f>
        <v>354784627.07099998</v>
      </c>
      <c r="Z12" s="64">
        <f>'[12] Физический_ежемесячный'!Z17</f>
        <v>413590465.86999995</v>
      </c>
      <c r="AA12" s="64">
        <f>'[12] Физический_ежемесячный'!AA17</f>
        <v>611469500.23899984</v>
      </c>
      <c r="AB12" s="64">
        <f>'[12] Физический_ежемесячный'!AB17</f>
        <v>865081942.17299998</v>
      </c>
      <c r="AC12" s="64">
        <v>857721711.99199998</v>
      </c>
      <c r="AD12" s="64">
        <v>715319464.9740001</v>
      </c>
      <c r="AE12" s="64">
        <v>658525601.15400004</v>
      </c>
      <c r="AF12" s="64">
        <f>'[12] Физический_ежемесячный'!AF17</f>
        <v>457043163.44999999</v>
      </c>
      <c r="AG12" s="64">
        <f>'[12] Физический_ежемесячный'!AG17</f>
        <v>448742596.61500001</v>
      </c>
      <c r="AH12" s="64">
        <f>'[12] Физический_ежемесячный'!AH17</f>
        <v>479600836.00599992</v>
      </c>
      <c r="AI12" s="64">
        <f>'[14] Физический_ежемесячный'!AI17</f>
        <v>566633789.75699997</v>
      </c>
      <c r="AJ12" s="64">
        <f>'[14] Физический_ежемесячный'!AJ17</f>
        <v>527199626.12100005</v>
      </c>
      <c r="AK12" s="64">
        <f>'[14] Физический_ежемесячный'!AK17</f>
        <v>432092395.33099991</v>
      </c>
    </row>
    <row r="13" spans="1:37" ht="16.350000000000001" customHeight="1">
      <c r="B13" s="40" t="s">
        <v>2</v>
      </c>
      <c r="C13" s="9" t="s">
        <v>110</v>
      </c>
      <c r="D13" s="39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</row>
    <row r="14" spans="1:37" ht="16.350000000000001" customHeight="1">
      <c r="B14" s="41" t="s">
        <v>108</v>
      </c>
      <c r="C14" s="9" t="s">
        <v>110</v>
      </c>
      <c r="D14" s="39"/>
      <c r="E14" s="66">
        <f>SUBTOTAL(9,E2:E12)</f>
        <v>1500240122.6635001</v>
      </c>
      <c r="F14" s="66">
        <f t="shared" ref="F14:AB14" si="0">SUBTOTAL(9,F2:F12)</f>
        <v>1111507961.3800001</v>
      </c>
      <c r="G14" s="66">
        <f t="shared" si="0"/>
        <v>996404539.70000005</v>
      </c>
      <c r="H14" s="66">
        <f t="shared" si="0"/>
        <v>1049805724.8</v>
      </c>
      <c r="I14" s="66">
        <f t="shared" si="0"/>
        <v>1141106912.74</v>
      </c>
      <c r="J14" s="66">
        <f t="shared" si="0"/>
        <v>1229114087.3199999</v>
      </c>
      <c r="K14" s="66">
        <f t="shared" si="0"/>
        <v>1311690712.3899999</v>
      </c>
      <c r="L14" s="66">
        <f t="shared" si="0"/>
        <v>1254987768.3800001</v>
      </c>
      <c r="M14" s="66">
        <f t="shared" si="0"/>
        <v>1092685444.7832</v>
      </c>
      <c r="N14" s="66">
        <f t="shared" si="0"/>
        <v>920531502.07439995</v>
      </c>
      <c r="O14" s="66">
        <f t="shared" si="0"/>
        <v>1064454229.8799999</v>
      </c>
      <c r="P14" s="66">
        <f t="shared" si="0"/>
        <v>1373179505.0799999</v>
      </c>
      <c r="Q14" s="66">
        <f t="shared" si="0"/>
        <v>1357269055.76</v>
      </c>
      <c r="R14" s="66">
        <f t="shared" si="0"/>
        <v>1298798924.9000001</v>
      </c>
      <c r="S14" s="66">
        <f t="shared" si="0"/>
        <v>1055569949.9335999</v>
      </c>
      <c r="T14" s="66">
        <f t="shared" si="0"/>
        <v>1010327477.97</v>
      </c>
      <c r="U14" s="66">
        <f t="shared" si="0"/>
        <v>1187606535.6855001</v>
      </c>
      <c r="V14" s="66">
        <f t="shared" si="0"/>
        <v>1299894505.9470901</v>
      </c>
      <c r="W14" s="66">
        <f t="shared" si="0"/>
        <v>1442392446.881</v>
      </c>
      <c r="X14" s="66">
        <f t="shared" si="0"/>
        <v>1439922210.3976002</v>
      </c>
      <c r="Y14" s="66">
        <f t="shared" si="0"/>
        <v>1157051593.8738999</v>
      </c>
      <c r="Z14" s="66">
        <f t="shared" si="0"/>
        <v>1052553762.5759997</v>
      </c>
      <c r="AA14" s="66">
        <f t="shared" si="0"/>
        <v>1253218792.0056999</v>
      </c>
      <c r="AB14" s="66">
        <f t="shared" si="0"/>
        <v>1564393916.2158999</v>
      </c>
      <c r="AC14" s="66">
        <v>1570221219.7543001</v>
      </c>
      <c r="AD14" s="66">
        <v>1364218355.5050001</v>
      </c>
      <c r="AE14" s="66">
        <v>1340880119.2324197</v>
      </c>
      <c r="AF14" s="66">
        <f t="shared" ref="AF14:AI14" si="1">SUBTOTAL(9,AF2:AF12)</f>
        <v>1191019106.4925001</v>
      </c>
      <c r="AG14" s="66">
        <f t="shared" si="1"/>
        <v>1417832060.0138998</v>
      </c>
      <c r="AH14" s="66">
        <f t="shared" si="1"/>
        <v>1492383064.3659</v>
      </c>
      <c r="AI14" s="66">
        <f t="shared" si="1"/>
        <v>1663682544.9133</v>
      </c>
      <c r="AJ14" s="66">
        <f>SUBTOTAL(9,AJ2:AJ12)</f>
        <v>1567375644.6059999</v>
      </c>
      <c r="AK14" s="66">
        <f>SUBTOTAL(9,AK2:AK12)</f>
        <v>1299248665.2988999</v>
      </c>
    </row>
    <row r="15" spans="1:37" ht="16.350000000000001" customHeight="1">
      <c r="B15" s="42"/>
      <c r="C15" s="39"/>
      <c r="D15" s="39"/>
      <c r="E15" s="43"/>
      <c r="F15" s="43"/>
      <c r="G15" s="43"/>
      <c r="H15" s="43"/>
      <c r="I15" s="43"/>
      <c r="J15" s="43"/>
      <c r="K15" s="43"/>
      <c r="L15" s="43"/>
      <c r="M15" s="43"/>
    </row>
    <row r="16" spans="1:37" s="6" customFormat="1" ht="15.75" customHeight="1" thickBot="1">
      <c r="A16" s="3" t="s">
        <v>92</v>
      </c>
      <c r="B16" s="4"/>
      <c r="C16" s="4" t="s">
        <v>20</v>
      </c>
      <c r="D16" s="4" t="s">
        <v>21</v>
      </c>
      <c r="E16" s="19">
        <v>44927</v>
      </c>
      <c r="F16" s="19">
        <v>44958</v>
      </c>
      <c r="G16" s="19">
        <v>44986</v>
      </c>
      <c r="H16" s="19">
        <v>45017</v>
      </c>
      <c r="I16" s="19">
        <v>45047</v>
      </c>
      <c r="J16" s="19">
        <v>45078</v>
      </c>
      <c r="K16" s="19">
        <v>45108</v>
      </c>
      <c r="L16" s="19">
        <v>45139</v>
      </c>
      <c r="M16" s="19">
        <v>45170</v>
      </c>
      <c r="N16" s="19">
        <v>45200</v>
      </c>
      <c r="O16" s="19">
        <v>45231</v>
      </c>
      <c r="P16" s="19">
        <v>45261</v>
      </c>
      <c r="Q16" s="19">
        <v>45292</v>
      </c>
      <c r="R16" s="19">
        <v>45323</v>
      </c>
      <c r="S16" s="19">
        <v>45352</v>
      </c>
      <c r="T16" s="19">
        <v>45383</v>
      </c>
      <c r="U16" s="19">
        <v>45413</v>
      </c>
      <c r="V16" s="19">
        <v>45444</v>
      </c>
      <c r="W16" s="19">
        <v>45474</v>
      </c>
      <c r="X16" s="19">
        <v>45505</v>
      </c>
      <c r="Y16" s="19">
        <v>45536</v>
      </c>
      <c r="Z16" s="19">
        <v>45566</v>
      </c>
      <c r="AA16" s="19">
        <v>45597</v>
      </c>
      <c r="AB16" s="19">
        <v>45627</v>
      </c>
      <c r="AC16" s="19">
        <v>45658</v>
      </c>
      <c r="AD16" s="19">
        <v>45689</v>
      </c>
      <c r="AE16" s="19">
        <v>45717</v>
      </c>
      <c r="AF16" s="19">
        <v>45748</v>
      </c>
      <c r="AG16" s="19">
        <v>45778</v>
      </c>
      <c r="AH16" s="19">
        <v>45809</v>
      </c>
      <c r="AI16" s="19">
        <v>45839</v>
      </c>
      <c r="AJ16" s="19">
        <v>45870</v>
      </c>
      <c r="AK16" s="19">
        <v>45901</v>
      </c>
    </row>
    <row r="17" spans="1:37" ht="16.5" customHeight="1">
      <c r="B17" s="44" t="s">
        <v>111</v>
      </c>
      <c r="C17" s="9" t="s">
        <v>120</v>
      </c>
      <c r="D17" s="37"/>
      <c r="E17" s="71">
        <f>E42/E2</f>
        <v>0.66692079254458125</v>
      </c>
      <c r="F17" s="71">
        <f t="shared" ref="F17:AB28" si="2">F42/F2</f>
        <v>0.6761413308584463</v>
      </c>
      <c r="G17" s="71">
        <f t="shared" si="2"/>
        <v>0.73523308632745088</v>
      </c>
      <c r="H17" s="71">
        <f t="shared" si="2"/>
        <v>0.68389272812985979</v>
      </c>
      <c r="I17" s="71">
        <f t="shared" si="2"/>
        <v>0.68454030156773327</v>
      </c>
      <c r="J17" s="71">
        <f t="shared" si="2"/>
        <v>0.69117410676160174</v>
      </c>
      <c r="K17" s="71">
        <f t="shared" si="2"/>
        <v>0.68292522311336568</v>
      </c>
      <c r="L17" s="71">
        <f t="shared" si="2"/>
        <v>0.68744364822574533</v>
      </c>
      <c r="M17" s="71">
        <f t="shared" si="2"/>
        <v>0.6835494879789682</v>
      </c>
      <c r="N17" s="71">
        <f t="shared" si="2"/>
        <v>0.68688285690876461</v>
      </c>
      <c r="O17" s="71">
        <f t="shared" si="2"/>
        <v>0.6852159392079229</v>
      </c>
      <c r="P17" s="71">
        <f t="shared" si="2"/>
        <v>0.6829902689612386</v>
      </c>
      <c r="Q17" s="71">
        <f t="shared" si="2"/>
        <v>0.78540557304906389</v>
      </c>
      <c r="R17" s="71">
        <f t="shared" si="2"/>
        <v>0.78252557304758186</v>
      </c>
      <c r="S17" s="71">
        <f t="shared" si="2"/>
        <v>0.78482223304520748</v>
      </c>
      <c r="T17" s="71">
        <f t="shared" si="2"/>
        <v>0.77334936867365667</v>
      </c>
      <c r="U17" s="71">
        <f t="shared" si="2"/>
        <v>0.76713474621159428</v>
      </c>
      <c r="V17" s="71">
        <f t="shared" si="2"/>
        <v>0.78963122204833336</v>
      </c>
      <c r="W17" s="71">
        <f t="shared" si="2"/>
        <v>0.78501339379528789</v>
      </c>
      <c r="X17" s="71">
        <f t="shared" si="2"/>
        <v>0.79050256185794865</v>
      </c>
      <c r="Y17" s="71">
        <f t="shared" si="2"/>
        <v>0.79024990452352895</v>
      </c>
      <c r="Z17" s="71">
        <f t="shared" si="2"/>
        <v>0.78860649440839947</v>
      </c>
      <c r="AA17" s="71">
        <f t="shared" si="2"/>
        <v>0.78573376618702573</v>
      </c>
      <c r="AB17" s="71">
        <f t="shared" si="2"/>
        <v>0.85940800863583366</v>
      </c>
      <c r="AC17" s="71">
        <f t="shared" ref="AC17:AK27" si="3">AC42/AC2</f>
        <v>0.77870638842006035</v>
      </c>
      <c r="AD17" s="71">
        <f t="shared" si="3"/>
        <v>0.78553405162076828</v>
      </c>
      <c r="AE17" s="71">
        <f t="shared" si="3"/>
        <v>0.78631327700697085</v>
      </c>
      <c r="AF17" s="71">
        <f t="shared" si="3"/>
        <v>0.90654284775415817</v>
      </c>
      <c r="AG17" s="71">
        <f>AG42/AG2</f>
        <v>0.90799051481241755</v>
      </c>
      <c r="AH17" s="71">
        <f>AH42/AH2</f>
        <v>0.90210358325116768</v>
      </c>
      <c r="AI17" s="71">
        <f>AI42/AI2</f>
        <v>0.9012099217832511</v>
      </c>
      <c r="AJ17" s="71">
        <f>AJ42/AJ2</f>
        <v>0.8919578282131696</v>
      </c>
      <c r="AK17" s="71">
        <f>AK42/AK2</f>
        <v>0.89918389992743664</v>
      </c>
    </row>
    <row r="18" spans="1:37" ht="16.350000000000001" customHeight="1">
      <c r="B18" s="40" t="s">
        <v>112</v>
      </c>
      <c r="C18" s="9" t="s">
        <v>120</v>
      </c>
      <c r="D18" s="39"/>
      <c r="E18" s="71">
        <f t="shared" ref="E18:T29" si="4">E43/E3</f>
        <v>0.69749815057704745</v>
      </c>
      <c r="F18" s="71">
        <f t="shared" si="4"/>
        <v>0.69749952072265275</v>
      </c>
      <c r="G18" s="71">
        <f t="shared" si="4"/>
        <v>0.69749964200736758</v>
      </c>
      <c r="H18" s="71">
        <f t="shared" si="4"/>
        <v>0.1903547182975272</v>
      </c>
      <c r="I18" s="71">
        <f t="shared" si="4"/>
        <v>0.24023186739721653</v>
      </c>
      <c r="J18" s="71">
        <f t="shared" si="4"/>
        <v>0.12239996382271744</v>
      </c>
      <c r="K18" s="71">
        <f t="shared" si="4"/>
        <v>0.12240007335437146</v>
      </c>
      <c r="L18" s="71">
        <f t="shared" si="4"/>
        <v>0.12240044133344925</v>
      </c>
      <c r="M18" s="71">
        <f t="shared" si="4"/>
        <v>0.12240024741174556</v>
      </c>
      <c r="N18" s="71">
        <f t="shared" si="4"/>
        <v>0.49034610821689295</v>
      </c>
      <c r="O18" s="71">
        <f t="shared" si="4"/>
        <v>0.77105971908398341</v>
      </c>
      <c r="P18" s="71">
        <f t="shared" si="4"/>
        <v>0.69749584446068058</v>
      </c>
      <c r="Q18" s="71">
        <f t="shared" si="4"/>
        <v>0.8020005232290196</v>
      </c>
      <c r="R18" s="71">
        <f t="shared" si="4"/>
        <v>0.80200136645417197</v>
      </c>
      <c r="S18" s="71">
        <f t="shared" si="4"/>
        <v>0.80200094095913155</v>
      </c>
      <c r="T18" s="71">
        <f t="shared" si="4"/>
        <v>0.76874056341176744</v>
      </c>
      <c r="U18" s="71">
        <f t="shared" si="2"/>
        <v>0.14209207199539992</v>
      </c>
      <c r="V18" s="71">
        <f t="shared" si="2"/>
        <v>0.14230559696412073</v>
      </c>
      <c r="W18" s="71">
        <f t="shared" si="2"/>
        <v>0.14220745580693336</v>
      </c>
      <c r="X18" s="71">
        <f t="shared" si="2"/>
        <v>0.14204724654675671</v>
      </c>
      <c r="Y18" s="71">
        <f t="shared" si="2"/>
        <v>0.14144911768310897</v>
      </c>
      <c r="Z18" s="71">
        <f t="shared" si="2"/>
        <v>0.80622924727717382</v>
      </c>
      <c r="AA18" s="71">
        <f t="shared" si="2"/>
        <v>0.80154570845547324</v>
      </c>
      <c r="AB18" s="71">
        <f t="shared" si="2"/>
        <v>0.80141680526732095</v>
      </c>
      <c r="AC18" s="71">
        <f t="shared" ref="AC18:AE18" si="5">AC43/AC3</f>
        <v>0.80148650262620236</v>
      </c>
      <c r="AD18" s="71">
        <f t="shared" si="5"/>
        <v>0.80136243660815898</v>
      </c>
      <c r="AE18" s="71">
        <f t="shared" si="5"/>
        <v>0.80193366531855337</v>
      </c>
      <c r="AF18" s="71">
        <f t="shared" si="3"/>
        <v>0.70530971867105818</v>
      </c>
      <c r="AG18" s="71">
        <f t="shared" si="3"/>
        <v>0.16004515443986</v>
      </c>
      <c r="AH18" s="71">
        <f t="shared" si="3"/>
        <v>0.16047721510094592</v>
      </c>
      <c r="AI18" s="71">
        <f t="shared" si="3"/>
        <v>0.16079410867609881</v>
      </c>
      <c r="AJ18" s="71">
        <f t="shared" si="3"/>
        <v>0.16034274165340587</v>
      </c>
      <c r="AK18" s="71">
        <f t="shared" si="3"/>
        <v>0.30296877286103463</v>
      </c>
    </row>
    <row r="19" spans="1:37" ht="16.350000000000001" customHeight="1">
      <c r="B19" s="40" t="s">
        <v>113</v>
      </c>
      <c r="C19" s="9" t="s">
        <v>120</v>
      </c>
      <c r="D19" s="39"/>
      <c r="E19" s="71">
        <f t="shared" si="4"/>
        <v>0.48755011337093185</v>
      </c>
      <c r="F19" s="71">
        <f t="shared" si="2"/>
        <v>0.50794197267125707</v>
      </c>
      <c r="G19" s="71">
        <f t="shared" si="2"/>
        <v>0.50265513696203368</v>
      </c>
      <c r="H19" s="71">
        <f t="shared" si="2"/>
        <v>0.5075523434725564</v>
      </c>
      <c r="I19" s="71">
        <f t="shared" si="2"/>
        <v>0.52061119185769433</v>
      </c>
      <c r="J19" s="71">
        <f t="shared" si="2"/>
        <v>0.54082468470782707</v>
      </c>
      <c r="K19" s="71">
        <f t="shared" si="2"/>
        <v>0.62783202449506037</v>
      </c>
      <c r="L19" s="71">
        <f t="shared" si="2"/>
        <v>0.49865969532006149</v>
      </c>
      <c r="M19" s="71">
        <f t="shared" si="2"/>
        <v>0.50685804545402835</v>
      </c>
      <c r="N19" s="71">
        <f t="shared" si="2"/>
        <v>0.50760304930974576</v>
      </c>
      <c r="O19" s="71">
        <f t="shared" si="2"/>
        <v>0.57234158223371634</v>
      </c>
      <c r="P19" s="71">
        <f t="shared" si="2"/>
        <v>0.50738850981471229</v>
      </c>
      <c r="Q19" s="71">
        <f t="shared" si="2"/>
        <v>0.59140104853382769</v>
      </c>
      <c r="R19" s="71">
        <f t="shared" si="2"/>
        <v>0.59036605319736002</v>
      </c>
      <c r="S19" s="71">
        <f t="shared" si="2"/>
        <v>0.59720702467401698</v>
      </c>
      <c r="T19" s="71">
        <f t="shared" si="2"/>
        <v>0.57290227094081103</v>
      </c>
      <c r="U19" s="71">
        <f t="shared" si="2"/>
        <v>0.57356883357822552</v>
      </c>
      <c r="V19" s="71">
        <f>V44/V4</f>
        <v>0.58065405236487644</v>
      </c>
      <c r="W19" s="71">
        <f t="shared" si="2"/>
        <v>0.58481413864976017</v>
      </c>
      <c r="X19" s="71">
        <f t="shared" si="2"/>
        <v>0.5852726495590872</v>
      </c>
      <c r="Y19" s="71">
        <f t="shared" si="2"/>
        <v>0.60492465722262934</v>
      </c>
      <c r="Z19" s="71">
        <f t="shared" si="2"/>
        <v>0.59347335149510538</v>
      </c>
      <c r="AA19" s="71">
        <f t="shared" si="2"/>
        <v>0.58938181586418703</v>
      </c>
      <c r="AB19" s="71">
        <f t="shared" si="2"/>
        <v>0.6036309740708915</v>
      </c>
      <c r="AC19" s="71">
        <f t="shared" ref="AC19:AE19" si="6">AC44/AC4</f>
        <v>0.58513782613762222</v>
      </c>
      <c r="AD19" s="71">
        <f t="shared" si="6"/>
        <v>0.59669411240977188</v>
      </c>
      <c r="AE19" s="71">
        <f t="shared" si="6"/>
        <v>0.60542363528437859</v>
      </c>
      <c r="AF19" s="71">
        <f t="shared" si="3"/>
        <v>0.69670532489427528</v>
      </c>
      <c r="AG19" s="71">
        <f t="shared" si="3"/>
        <v>0.69361015747738319</v>
      </c>
      <c r="AH19" s="71">
        <f t="shared" si="3"/>
        <v>0.69413279390390081</v>
      </c>
      <c r="AI19" s="71">
        <f t="shared" si="3"/>
        <v>0.69333002051568615</v>
      </c>
      <c r="AJ19" s="71">
        <f t="shared" si="3"/>
        <v>0.69890547006677239</v>
      </c>
      <c r="AK19" s="71">
        <f t="shared" si="3"/>
        <v>0.70615682683327019</v>
      </c>
    </row>
    <row r="20" spans="1:37" ht="16.350000000000001" customHeight="1">
      <c r="B20" s="40" t="s">
        <v>114</v>
      </c>
      <c r="C20" s="9" t="s">
        <v>120</v>
      </c>
      <c r="D20" s="39"/>
      <c r="E20" s="71">
        <f t="shared" si="4"/>
        <v>0.30408517544075503</v>
      </c>
      <c r="F20" s="71">
        <f t="shared" si="2"/>
        <v>0.30468188391117773</v>
      </c>
      <c r="G20" s="71">
        <f t="shared" si="2"/>
        <v>0.3131387386921069</v>
      </c>
      <c r="H20" s="71">
        <f t="shared" si="2"/>
        <v>0.30629090662233582</v>
      </c>
      <c r="I20" s="71">
        <f t="shared" si="2"/>
        <v>0.30526465182062673</v>
      </c>
      <c r="J20" s="71">
        <f t="shared" si="2"/>
        <v>0.31234213288107765</v>
      </c>
      <c r="K20" s="71">
        <f t="shared" si="2"/>
        <v>0.3033901876560966</v>
      </c>
      <c r="L20" s="71">
        <f t="shared" si="2"/>
        <v>0.30424292684833393</v>
      </c>
      <c r="M20" s="71">
        <f t="shared" si="2"/>
        <v>0.30105602421479666</v>
      </c>
      <c r="N20" s="71">
        <f t="shared" si="2"/>
        <v>0.3069223730883599</v>
      </c>
      <c r="O20" s="71">
        <f t="shared" si="2"/>
        <v>0.30541832840469441</v>
      </c>
      <c r="P20" s="71">
        <f t="shared" si="2"/>
        <v>0.30523242046602517</v>
      </c>
      <c r="Q20" s="71">
        <f t="shared" si="2"/>
        <v>0.34995777735564143</v>
      </c>
      <c r="R20" s="71">
        <f t="shared" si="2"/>
        <v>0.35778920279357357</v>
      </c>
      <c r="S20" s="71">
        <f t="shared" si="2"/>
        <v>0.35098737676725089</v>
      </c>
      <c r="T20" s="71">
        <f t="shared" si="2"/>
        <v>0.34830202517414294</v>
      </c>
      <c r="U20" s="71">
        <f t="shared" si="2"/>
        <v>0.35084683023971475</v>
      </c>
      <c r="V20" s="71">
        <f t="shared" si="2"/>
        <v>0.34972200018521094</v>
      </c>
      <c r="W20" s="71">
        <f t="shared" si="2"/>
        <v>0.35064881583035251</v>
      </c>
      <c r="X20" s="71">
        <f t="shared" si="2"/>
        <v>0.35423779151009938</v>
      </c>
      <c r="Y20" s="71">
        <f t="shared" si="2"/>
        <v>0.35070983904142577</v>
      </c>
      <c r="Z20" s="71">
        <f t="shared" si="2"/>
        <v>0.35596437296453881</v>
      </c>
      <c r="AA20" s="71">
        <f t="shared" si="2"/>
        <v>0.35610094731174535</v>
      </c>
      <c r="AB20" s="71">
        <f t="shared" si="2"/>
        <v>0.35263114857326094</v>
      </c>
      <c r="AC20" s="71">
        <f t="shared" ref="AC20:AE20" si="7">AC45/AC5</f>
        <v>0.34957907129823157</v>
      </c>
      <c r="AD20" s="71">
        <f t="shared" si="7"/>
        <v>0.35096613968659351</v>
      </c>
      <c r="AE20" s="71">
        <f t="shared" si="7"/>
        <v>0.35166767944067084</v>
      </c>
      <c r="AF20" s="71">
        <f t="shared" si="3"/>
        <v>0.40388622307613509</v>
      </c>
      <c r="AG20" s="71">
        <f t="shared" si="3"/>
        <v>0.40304774899402934</v>
      </c>
      <c r="AH20" s="71">
        <f t="shared" si="3"/>
        <v>0.4084643926819525</v>
      </c>
      <c r="AI20" s="71">
        <f t="shared" si="3"/>
        <v>0.40381112663351326</v>
      </c>
      <c r="AJ20" s="71">
        <f t="shared" si="3"/>
        <v>0.39937550017386297</v>
      </c>
      <c r="AK20" s="71">
        <f t="shared" si="3"/>
        <v>0.40208325097246289</v>
      </c>
    </row>
    <row r="21" spans="1:37" ht="16.350000000000001" customHeight="1">
      <c r="B21" s="40" t="s">
        <v>85</v>
      </c>
      <c r="C21" s="9" t="s">
        <v>120</v>
      </c>
      <c r="D21" s="39"/>
      <c r="E21" s="71">
        <f t="shared" si="4"/>
        <v>0.24678437655498978</v>
      </c>
      <c r="F21" s="71">
        <f t="shared" si="2"/>
        <v>0.23801708430066337</v>
      </c>
      <c r="G21" s="71">
        <f t="shared" si="2"/>
        <v>0.24372362101480782</v>
      </c>
      <c r="H21" s="71">
        <f t="shared" si="2"/>
        <v>9.1351268473393143E-2</v>
      </c>
      <c r="I21" s="71">
        <f t="shared" si="2"/>
        <v>9.2489922302849831E-2</v>
      </c>
      <c r="J21" s="71">
        <f t="shared" si="2"/>
        <v>9.2561446298228323E-2</v>
      </c>
      <c r="K21" s="71">
        <f t="shared" si="2"/>
        <v>9.3042340386369854E-2</v>
      </c>
      <c r="L21" s="71">
        <f t="shared" si="2"/>
        <v>9.2691484452345749E-2</v>
      </c>
      <c r="M21" s="71">
        <f t="shared" si="2"/>
        <v>9.1848531433103037E-2</v>
      </c>
      <c r="N21" s="71">
        <f t="shared" si="2"/>
        <v>0.2090574006061382</v>
      </c>
      <c r="O21" s="71">
        <f t="shared" si="2"/>
        <v>0.23386091942834608</v>
      </c>
      <c r="P21" s="71">
        <f t="shared" si="2"/>
        <v>0.19116282717181035</v>
      </c>
      <c r="Q21" s="71">
        <f t="shared" si="2"/>
        <v>0.26538406822623883</v>
      </c>
      <c r="R21" s="71">
        <f t="shared" si="2"/>
        <v>0.24238639822296981</v>
      </c>
      <c r="S21" s="71">
        <f t="shared" si="2"/>
        <v>0.23609502396195858</v>
      </c>
      <c r="T21" s="71">
        <f t="shared" si="2"/>
        <v>0.10165827790131056</v>
      </c>
      <c r="U21" s="71">
        <f t="shared" si="2"/>
        <v>0.10827627084594338</v>
      </c>
      <c r="V21" s="71">
        <f t="shared" si="2"/>
        <v>0.10796299273409735</v>
      </c>
      <c r="W21" s="71">
        <f t="shared" si="2"/>
        <v>0.10709817824849398</v>
      </c>
      <c r="X21" s="71">
        <f t="shared" si="2"/>
        <v>0.10778053144360471</v>
      </c>
      <c r="Y21" s="71">
        <f t="shared" si="2"/>
        <v>0.10688033806748962</v>
      </c>
      <c r="Z21" s="71">
        <f t="shared" si="2"/>
        <v>0.2536289512501278</v>
      </c>
      <c r="AA21" s="71">
        <f t="shared" si="2"/>
        <v>0.28728432983019792</v>
      </c>
      <c r="AB21" s="71">
        <f t="shared" si="2"/>
        <v>0.30096311224634037</v>
      </c>
      <c r="AC21" s="71">
        <f t="shared" ref="AC21:AE21" si="8">AC46/AC6</f>
        <v>0.293129156652645</v>
      </c>
      <c r="AD21" s="71">
        <f t="shared" si="8"/>
        <v>0.28627214030250214</v>
      </c>
      <c r="AE21" s="71">
        <f t="shared" si="8"/>
        <v>0.28598571200143241</v>
      </c>
      <c r="AF21" s="71">
        <f t="shared" si="3"/>
        <v>0.12318719954995472</v>
      </c>
      <c r="AG21" s="71">
        <f t="shared" si="3"/>
        <v>0.12418249312323189</v>
      </c>
      <c r="AH21" s="71">
        <f t="shared" si="3"/>
        <v>0.12428289746658179</v>
      </c>
      <c r="AI21" s="71">
        <f t="shared" si="3"/>
        <v>0.12404110804446947</v>
      </c>
      <c r="AJ21" s="71">
        <f t="shared" si="3"/>
        <v>0.11816043354530568</v>
      </c>
      <c r="AK21" s="71">
        <f t="shared" si="3"/>
        <v>0.12352739002291149</v>
      </c>
    </row>
    <row r="22" spans="1:37" ht="16.350000000000001" customHeight="1">
      <c r="B22" s="40" t="s">
        <v>115</v>
      </c>
      <c r="C22" s="9" t="s">
        <v>120</v>
      </c>
      <c r="D22" s="39"/>
      <c r="E22" s="71">
        <f t="shared" si="4"/>
        <v>0.12962013754923146</v>
      </c>
      <c r="F22" s="71">
        <f t="shared" si="2"/>
        <v>0.12868727312039255</v>
      </c>
      <c r="G22" s="71">
        <f t="shared" si="2"/>
        <v>0.12811421019068203</v>
      </c>
      <c r="H22" s="71">
        <f t="shared" si="2"/>
        <v>0.12517682144211495</v>
      </c>
      <c r="I22" s="71">
        <f t="shared" si="2"/>
        <v>0.11416437904163465</v>
      </c>
      <c r="J22" s="71">
        <f t="shared" si="2"/>
        <v>0.1243283702738478</v>
      </c>
      <c r="K22" s="71">
        <f t="shared" si="2"/>
        <v>0.12336246783382189</v>
      </c>
      <c r="L22" s="71">
        <f t="shared" si="2"/>
        <v>0.11918506901864113</v>
      </c>
      <c r="M22" s="71">
        <f t="shared" si="2"/>
        <v>0.12417792868420185</v>
      </c>
      <c r="N22" s="71">
        <f t="shared" si="2"/>
        <v>0.1294660933099514</v>
      </c>
      <c r="O22" s="71">
        <f t="shared" si="2"/>
        <v>0.1288986906392563</v>
      </c>
      <c r="P22" s="71">
        <f t="shared" si="2"/>
        <v>0.13154242397429067</v>
      </c>
      <c r="Q22" s="71">
        <f t="shared" si="2"/>
        <v>0.14321501287924579</v>
      </c>
      <c r="R22" s="71">
        <f t="shared" si="2"/>
        <v>0.14736808101687449</v>
      </c>
      <c r="S22" s="71">
        <f t="shared" si="2"/>
        <v>0.14810593902264033</v>
      </c>
      <c r="T22" s="71">
        <f t="shared" si="2"/>
        <v>0.14651249957462928</v>
      </c>
      <c r="U22" s="71">
        <f t="shared" si="2"/>
        <v>0.14735465443239479</v>
      </c>
      <c r="V22" s="71">
        <f t="shared" si="2"/>
        <v>0.14795160705941116</v>
      </c>
      <c r="W22" s="71">
        <f t="shared" si="2"/>
        <v>0.14780168129466686</v>
      </c>
      <c r="X22" s="71">
        <f t="shared" si="2"/>
        <v>0.14635927041221256</v>
      </c>
      <c r="Y22" s="71">
        <f t="shared" si="2"/>
        <v>0.14688036313002367</v>
      </c>
      <c r="Z22" s="71">
        <f t="shared" si="2"/>
        <v>0.14805149718779786</v>
      </c>
      <c r="AA22" s="71">
        <f t="shared" si="2"/>
        <v>0.14809696583256132</v>
      </c>
      <c r="AB22" s="71">
        <f t="shared" si="2"/>
        <v>0.14856171708732371</v>
      </c>
      <c r="AC22" s="71">
        <f t="shared" ref="AC22:AE22" si="9">AC47/AC7</f>
        <v>0.14743555374450221</v>
      </c>
      <c r="AD22" s="71">
        <f t="shared" si="9"/>
        <v>0.14774249141388193</v>
      </c>
      <c r="AE22" s="71">
        <f t="shared" si="9"/>
        <v>0.14686274702946864</v>
      </c>
      <c r="AF22" s="71">
        <f t="shared" si="3"/>
        <v>0.1683582009754542</v>
      </c>
      <c r="AG22" s="71">
        <f t="shared" si="3"/>
        <v>0.16857692319004</v>
      </c>
      <c r="AH22" s="71">
        <f t="shared" si="3"/>
        <v>0.17012476077195118</v>
      </c>
      <c r="AI22" s="71">
        <f t="shared" si="3"/>
        <v>0.16766122154434326</v>
      </c>
      <c r="AJ22" s="71">
        <f t="shared" si="3"/>
        <v>0.16746731733057665</v>
      </c>
      <c r="AK22" s="71">
        <f t="shared" si="3"/>
        <v>0.15452945317101438</v>
      </c>
    </row>
    <row r="23" spans="1:37" ht="16.350000000000001" customHeight="1">
      <c r="B23" s="40" t="s">
        <v>116</v>
      </c>
      <c r="C23" s="9" t="s">
        <v>120</v>
      </c>
      <c r="D23" s="39"/>
      <c r="E23" s="71">
        <f t="shared" si="4"/>
        <v>8.8862015677501738E-2</v>
      </c>
      <c r="F23" s="71">
        <f t="shared" si="2"/>
        <v>0.10151022043564739</v>
      </c>
      <c r="G23" s="71">
        <f t="shared" si="2"/>
        <v>9.126284314237175E-2</v>
      </c>
      <c r="H23" s="71">
        <f t="shared" si="2"/>
        <v>8.8484427245540606E-2</v>
      </c>
      <c r="I23" s="71">
        <f t="shared" si="2"/>
        <v>8.9448820951435498E-2</v>
      </c>
      <c r="J23" s="71">
        <f t="shared" si="2"/>
        <v>9.0161403898125492E-2</v>
      </c>
      <c r="K23" s="71">
        <f t="shared" si="2"/>
        <v>9.200747477320409E-2</v>
      </c>
      <c r="L23" s="71">
        <f t="shared" si="2"/>
        <v>9.199906768177317E-2</v>
      </c>
      <c r="M23" s="71">
        <f t="shared" si="2"/>
        <v>6.8549195800934257E-2</v>
      </c>
      <c r="N23" s="71">
        <f t="shared" si="2"/>
        <v>9.2008164652485708E-2</v>
      </c>
      <c r="O23" s="71">
        <f t="shared" si="2"/>
        <v>9.4284292152734608E-2</v>
      </c>
      <c r="P23" s="71">
        <f t="shared" si="2"/>
        <v>8.7604442255907078E-2</v>
      </c>
      <c r="Q23" s="71">
        <f t="shared" si="2"/>
        <v>0.10591728257924177</v>
      </c>
      <c r="R23" s="71">
        <f t="shared" si="2"/>
        <v>0.10877745799730523</v>
      </c>
      <c r="S23" s="71">
        <f t="shared" si="2"/>
        <v>0.10680380811847563</v>
      </c>
      <c r="T23" s="71">
        <f t="shared" si="2"/>
        <v>0.10035489184207547</v>
      </c>
      <c r="U23" s="71">
        <f t="shared" si="2"/>
        <v>0.10454836760450821</v>
      </c>
      <c r="V23" s="71">
        <f t="shared" si="2"/>
        <v>0.1070285017036966</v>
      </c>
      <c r="W23" s="71">
        <f t="shared" si="2"/>
        <v>0.10798587658547702</v>
      </c>
      <c r="X23" s="71">
        <f t="shared" si="2"/>
        <v>0.10698857659630402</v>
      </c>
      <c r="Y23" s="71">
        <f t="shared" si="2"/>
        <v>0.10892769231972783</v>
      </c>
      <c r="Z23" s="71">
        <f t="shared" si="2"/>
        <v>0.10614212913341248</v>
      </c>
      <c r="AA23" s="71">
        <f t="shared" si="2"/>
        <v>0.11443745037427233</v>
      </c>
      <c r="AB23" s="71">
        <f t="shared" si="2"/>
        <v>0.11520234886676096</v>
      </c>
      <c r="AC23" s="71">
        <f t="shared" ref="AC23:AE23" si="10">AC48/AC8</f>
        <v>0.11408571525569153</v>
      </c>
      <c r="AD23" s="71">
        <f t="shared" si="10"/>
        <v>0.10807739739268812</v>
      </c>
      <c r="AE23" s="71">
        <f t="shared" si="10"/>
        <v>0.10726384576189804</v>
      </c>
      <c r="AF23" s="71">
        <f t="shared" si="3"/>
        <v>0.1226858952477887</v>
      </c>
      <c r="AG23" s="71">
        <f t="shared" si="3"/>
        <v>0.15238753660782325</v>
      </c>
      <c r="AH23" s="71">
        <f t="shared" si="3"/>
        <v>0.12291088153941311</v>
      </c>
      <c r="AI23" s="71">
        <f t="shared" si="3"/>
        <v>0.12275428144635088</v>
      </c>
      <c r="AJ23" s="71">
        <f t="shared" si="3"/>
        <v>0.12275832587598595</v>
      </c>
      <c r="AK23" s="71">
        <f t="shared" si="3"/>
        <v>0.12269834485314049</v>
      </c>
    </row>
    <row r="24" spans="1:37" ht="16.350000000000001" customHeight="1">
      <c r="B24" s="40" t="s">
        <v>117</v>
      </c>
      <c r="C24" s="9" t="s">
        <v>120</v>
      </c>
      <c r="D24" s="39"/>
      <c r="E24" s="71">
        <f t="shared" si="4"/>
        <v>0.18029091224714769</v>
      </c>
      <c r="F24" s="71">
        <f t="shared" si="2"/>
        <v>0.18014266898226933</v>
      </c>
      <c r="G24" s="71">
        <f t="shared" si="2"/>
        <v>0.17989175086836989</v>
      </c>
      <c r="H24" s="71">
        <f t="shared" si="2"/>
        <v>0.179349745093661</v>
      </c>
      <c r="I24" s="71">
        <f t="shared" si="2"/>
        <v>0.13378202455893035</v>
      </c>
      <c r="J24" s="71">
        <f t="shared" si="2"/>
        <v>0.15601158115489996</v>
      </c>
      <c r="K24" s="71">
        <f t="shared" si="2"/>
        <v>0.15593115266738536</v>
      </c>
      <c r="L24" s="71">
        <f t="shared" si="2"/>
        <v>0.15601205157634013</v>
      </c>
      <c r="M24" s="71">
        <f t="shared" si="2"/>
        <v>0.15589156942518106</v>
      </c>
      <c r="N24" s="71">
        <f t="shared" si="2"/>
        <v>0.15632027907327098</v>
      </c>
      <c r="O24" s="71">
        <f t="shared" si="2"/>
        <v>0.1564046006277455</v>
      </c>
      <c r="P24" s="71">
        <f t="shared" si="2"/>
        <v>0.15624677525949929</v>
      </c>
      <c r="Q24" s="71">
        <f t="shared" si="2"/>
        <v>0.18131007072291974</v>
      </c>
      <c r="R24" s="71">
        <f t="shared" si="2"/>
        <v>0.18129163252476993</v>
      </c>
      <c r="S24" s="71">
        <f t="shared" si="2"/>
        <v>0.18105997028788734</v>
      </c>
      <c r="T24" s="71">
        <f t="shared" si="2"/>
        <v>0.18119450214449592</v>
      </c>
      <c r="U24" s="71">
        <f t="shared" si="2"/>
        <v>0.18049197321804059</v>
      </c>
      <c r="V24" s="71">
        <f t="shared" si="2"/>
        <v>0.18087046318212641</v>
      </c>
      <c r="W24" s="71">
        <f t="shared" si="2"/>
        <v>0.18090488059131096</v>
      </c>
      <c r="X24" s="71">
        <f t="shared" si="2"/>
        <v>0.18064468127904162</v>
      </c>
      <c r="Y24" s="71">
        <f t="shared" si="2"/>
        <v>0.18076726799208817</v>
      </c>
      <c r="Z24" s="71">
        <f t="shared" si="2"/>
        <v>0.18116819554838104</v>
      </c>
      <c r="AA24" s="71">
        <f t="shared" si="2"/>
        <v>0.1811650135927578</v>
      </c>
      <c r="AB24" s="71">
        <f t="shared" si="2"/>
        <v>0.18112586384564305</v>
      </c>
      <c r="AC24" s="71">
        <f t="shared" ref="AC24:AE24" si="11">AC49/AC9</f>
        <v>0.18148284429371261</v>
      </c>
      <c r="AD24" s="71">
        <f t="shared" si="11"/>
        <v>0.18131123411240505</v>
      </c>
      <c r="AE24" s="71">
        <f t="shared" si="11"/>
        <v>0.18101925226665519</v>
      </c>
      <c r="AF24" s="71">
        <f t="shared" si="3"/>
        <v>0.20791170898959166</v>
      </c>
      <c r="AG24" s="71">
        <f t="shared" si="3"/>
        <v>0.20802157518046893</v>
      </c>
      <c r="AH24" s="71">
        <f t="shared" si="3"/>
        <v>0.20799753010739827</v>
      </c>
      <c r="AI24" s="71">
        <f t="shared" si="3"/>
        <v>0.20800172440046305</v>
      </c>
      <c r="AJ24" s="71">
        <f t="shared" si="3"/>
        <v>0.20805459607532029</v>
      </c>
      <c r="AK24" s="71">
        <f t="shared" si="3"/>
        <v>0.20804143388479829</v>
      </c>
    </row>
    <row r="25" spans="1:37" ht="16.350000000000001" customHeight="1">
      <c r="B25" s="40" t="s">
        <v>118</v>
      </c>
      <c r="C25" s="9" t="s">
        <v>120</v>
      </c>
      <c r="D25" s="39"/>
      <c r="E25" s="71">
        <f t="shared" si="4"/>
        <v>0.16467200889636885</v>
      </c>
      <c r="F25" s="71">
        <f t="shared" si="2"/>
        <v>0.17465437232324552</v>
      </c>
      <c r="G25" s="71">
        <f t="shared" si="2"/>
        <v>0.1746176396697075</v>
      </c>
      <c r="H25" s="71">
        <f t="shared" si="2"/>
        <v>0.17460000000000001</v>
      </c>
      <c r="I25" s="71">
        <f t="shared" si="2"/>
        <v>0.17461900739283603</v>
      </c>
      <c r="J25" s="71" t="e">
        <f t="shared" si="2"/>
        <v>#DIV/0!</v>
      </c>
      <c r="K25" s="71" t="e">
        <f t="shared" si="2"/>
        <v>#DIV/0!</v>
      </c>
      <c r="L25" s="71">
        <f t="shared" si="2"/>
        <v>0.69747499999999996</v>
      </c>
      <c r="M25" s="71" t="e">
        <f t="shared" si="2"/>
        <v>#DIV/0!</v>
      </c>
      <c r="N25" s="71" t="e">
        <f t="shared" si="2"/>
        <v>#DIV/0!</v>
      </c>
      <c r="O25" s="71">
        <f t="shared" si="2"/>
        <v>0.69750011228553466</v>
      </c>
      <c r="P25" s="71">
        <f t="shared" si="2"/>
        <v>0.17010001554359147</v>
      </c>
      <c r="Q25" s="71">
        <f t="shared" si="2"/>
        <v>0.17010001239284911</v>
      </c>
      <c r="R25" s="71">
        <f t="shared" si="2"/>
        <v>0.17010005001661627</v>
      </c>
      <c r="S25" s="71">
        <f t="shared" si="2"/>
        <v>0.1701001277500806</v>
      </c>
      <c r="T25" s="71">
        <f t="shared" si="2"/>
        <v>0.17010005450833574</v>
      </c>
      <c r="U25" s="71">
        <f t="shared" si="2"/>
        <v>0.170100002736355</v>
      </c>
      <c r="V25" s="71">
        <f t="shared" si="2"/>
        <v>0.17010008960527745</v>
      </c>
      <c r="W25" s="71">
        <f t="shared" si="2"/>
        <v>0.17010008201156027</v>
      </c>
      <c r="X25" s="71">
        <f t="shared" si="2"/>
        <v>0.17010006874292255</v>
      </c>
      <c r="Y25" s="71">
        <f t="shared" si="2"/>
        <v>0.17010000661834115</v>
      </c>
      <c r="Z25" s="71">
        <f t="shared" si="2"/>
        <v>0.17010004451813401</v>
      </c>
      <c r="AA25" s="71">
        <f t="shared" si="2"/>
        <v>0.17010001722867452</v>
      </c>
      <c r="AB25" s="71">
        <f t="shared" si="2"/>
        <v>0.17010003390357023</v>
      </c>
      <c r="AC25" s="71">
        <f t="shared" ref="AC25:AE25" si="12">AC50/AC10</f>
        <v>0.17010001457088739</v>
      </c>
      <c r="AD25" s="71">
        <f t="shared" si="12"/>
        <v>0.17467000791562634</v>
      </c>
      <c r="AE25" s="71">
        <f t="shared" si="12"/>
        <v>0.17446701440280912</v>
      </c>
      <c r="AF25" s="71">
        <f t="shared" si="3"/>
        <v>0.16930009301234614</v>
      </c>
      <c r="AG25" s="71">
        <f t="shared" si="3"/>
        <v>0.15900006611074086</v>
      </c>
      <c r="AH25" s="71">
        <f t="shared" si="3"/>
        <v>0.15840002446307538</v>
      </c>
      <c r="AI25" s="71">
        <f t="shared" si="3"/>
        <v>0.15241204364348243</v>
      </c>
      <c r="AJ25" s="71">
        <f t="shared" si="3"/>
        <v>0.15136103109764509</v>
      </c>
      <c r="AK25" s="71">
        <f t="shared" si="3"/>
        <v>0.1503730056724365</v>
      </c>
    </row>
    <row r="26" spans="1:37" ht="16.350000000000001" customHeight="1">
      <c r="B26" s="40" t="s">
        <v>101</v>
      </c>
      <c r="C26" s="9" t="s">
        <v>120</v>
      </c>
      <c r="D26" s="39"/>
      <c r="E26" s="71" t="e">
        <f t="shared" si="4"/>
        <v>#DIV/0!</v>
      </c>
      <c r="F26" s="71" t="e">
        <f t="shared" si="2"/>
        <v>#DIV/0!</v>
      </c>
      <c r="G26" s="71" t="e">
        <f t="shared" si="2"/>
        <v>#DIV/0!</v>
      </c>
      <c r="H26" s="71" t="e">
        <f t="shared" si="2"/>
        <v>#DIV/0!</v>
      </c>
      <c r="I26" s="71">
        <f t="shared" si="2"/>
        <v>0.46</v>
      </c>
      <c r="J26" s="71">
        <f t="shared" si="2"/>
        <v>0.46079775491546149</v>
      </c>
      <c r="K26" s="71">
        <f t="shared" si="2"/>
        <v>0.45999999999999996</v>
      </c>
      <c r="L26" s="71">
        <f t="shared" si="2"/>
        <v>0.46</v>
      </c>
      <c r="M26" s="71">
        <f t="shared" si="2"/>
        <v>0.45999999999999996</v>
      </c>
      <c r="N26" s="71">
        <f t="shared" si="2"/>
        <v>0.46</v>
      </c>
      <c r="O26" s="71">
        <f t="shared" si="2"/>
        <v>0.46</v>
      </c>
      <c r="P26" s="71">
        <f t="shared" si="2"/>
        <v>0.46</v>
      </c>
      <c r="Q26" s="71">
        <f t="shared" si="2"/>
        <v>0.52895999999999999</v>
      </c>
      <c r="R26" s="71">
        <f t="shared" si="2"/>
        <v>0.52895999999999999</v>
      </c>
      <c r="S26" s="71">
        <f t="shared" si="2"/>
        <v>0.52895999999999999</v>
      </c>
      <c r="T26" s="71">
        <f t="shared" si="2"/>
        <v>0.52900000172756401</v>
      </c>
      <c r="U26" s="71">
        <f t="shared" si="2"/>
        <v>0.52899999956469479</v>
      </c>
      <c r="V26" s="71">
        <f t="shared" si="2"/>
        <v>0.52895999999999999</v>
      </c>
      <c r="W26" s="71">
        <f t="shared" si="2"/>
        <v>0.52895999999999999</v>
      </c>
      <c r="X26" s="71">
        <f t="shared" si="2"/>
        <v>0.5289600000000001</v>
      </c>
      <c r="Y26" s="71">
        <f t="shared" si="2"/>
        <v>0.52899999986102808</v>
      </c>
      <c r="Z26" s="71">
        <f t="shared" si="2"/>
        <v>0.52899999966328737</v>
      </c>
      <c r="AA26" s="71">
        <f t="shared" si="2"/>
        <v>0.30745800000000001</v>
      </c>
      <c r="AB26" s="71">
        <f t="shared" si="2"/>
        <v>0.30749998934769546</v>
      </c>
      <c r="AC26" s="71">
        <f t="shared" ref="AC26:AE26" si="13">AC51/AC11</f>
        <v>0.30745800000000001</v>
      </c>
      <c r="AD26" s="71">
        <f t="shared" si="13"/>
        <v>0.30749997431103737</v>
      </c>
      <c r="AE26" s="71">
        <f t="shared" si="13"/>
        <v>0.30184725809850205</v>
      </c>
      <c r="AF26" s="71">
        <f t="shared" si="3"/>
        <v>0.35359999999999997</v>
      </c>
      <c r="AG26" s="71">
        <f t="shared" si="3"/>
        <v>0.35359999963935179</v>
      </c>
      <c r="AH26" s="71">
        <f t="shared" si="3"/>
        <v>0.35360001261285373</v>
      </c>
      <c r="AI26" s="71">
        <f t="shared" si="3"/>
        <v>0.35359999999999997</v>
      </c>
      <c r="AJ26" s="71">
        <f t="shared" si="3"/>
        <v>0.35360000000000003</v>
      </c>
      <c r="AK26" s="71">
        <f t="shared" si="3"/>
        <v>0.35360000000000003</v>
      </c>
    </row>
    <row r="27" spans="1:37" ht="16.350000000000001" customHeight="1">
      <c r="B27" s="40" t="s">
        <v>86</v>
      </c>
      <c r="C27" s="9" t="s">
        <v>120</v>
      </c>
      <c r="D27" s="39"/>
      <c r="E27" s="71">
        <f t="shared" si="4"/>
        <v>0.26589576849208613</v>
      </c>
      <c r="F27" s="71">
        <f t="shared" si="2"/>
        <v>0.26641844271160797</v>
      </c>
      <c r="G27" s="71">
        <f t="shared" si="2"/>
        <v>0.26599503202015351</v>
      </c>
      <c r="H27" s="71">
        <f t="shared" si="2"/>
        <v>0.26596106461632751</v>
      </c>
      <c r="I27" s="71">
        <f t="shared" si="2"/>
        <v>0.26576290931436874</v>
      </c>
      <c r="J27" s="71">
        <f t="shared" si="2"/>
        <v>0.26568861001418653</v>
      </c>
      <c r="K27" s="71">
        <f t="shared" si="2"/>
        <v>0.26545017262629578</v>
      </c>
      <c r="L27" s="71">
        <f t="shared" si="2"/>
        <v>0.26557840088604834</v>
      </c>
      <c r="M27" s="71">
        <f t="shared" si="2"/>
        <v>0.26570791153048479</v>
      </c>
      <c r="N27" s="71">
        <f t="shared" si="2"/>
        <v>0.2661442454852575</v>
      </c>
      <c r="O27" s="71">
        <f t="shared" si="2"/>
        <v>0.26602537301171519</v>
      </c>
      <c r="P27" s="71">
        <f t="shared" si="2"/>
        <v>0.26603415051942375</v>
      </c>
      <c r="Q27" s="71">
        <f t="shared" si="2"/>
        <v>0.30958034576511195</v>
      </c>
      <c r="R27" s="71">
        <f t="shared" si="2"/>
        <v>0.30925036685749219</v>
      </c>
      <c r="S27" s="71">
        <f t="shared" si="2"/>
        <v>0.31068955918984886</v>
      </c>
      <c r="T27" s="71">
        <f t="shared" si="2"/>
        <v>0.30758764516186565</v>
      </c>
      <c r="U27" s="71">
        <f t="shared" si="2"/>
        <v>0.30851676431160713</v>
      </c>
      <c r="V27" s="71">
        <f t="shared" si="2"/>
        <v>0.30817894741697877</v>
      </c>
      <c r="W27" s="71">
        <f t="shared" si="2"/>
        <v>0.3082521079177909</v>
      </c>
      <c r="X27" s="71">
        <f t="shared" si="2"/>
        <v>0.30827498261610858</v>
      </c>
      <c r="Y27" s="71">
        <f t="shared" si="2"/>
        <v>0.30859055724249873</v>
      </c>
      <c r="Z27" s="71">
        <f t="shared" si="2"/>
        <v>0.30984579379262084</v>
      </c>
      <c r="AA27" s="71">
        <f t="shared" si="2"/>
        <v>0.30900288149245114</v>
      </c>
      <c r="AB27" s="71">
        <f t="shared" si="2"/>
        <v>0.31152776437055568</v>
      </c>
      <c r="AC27" s="71">
        <f t="shared" ref="AC27:AE27" si="14">AC52/AC12</f>
        <v>0.31222740353313788</v>
      </c>
      <c r="AD27" s="71">
        <f t="shared" si="14"/>
        <v>0.31061243971300839</v>
      </c>
      <c r="AE27" s="71">
        <f t="shared" si="14"/>
        <v>0.31003327034963951</v>
      </c>
      <c r="AF27" s="71">
        <f t="shared" si="3"/>
        <v>0.35660772081847231</v>
      </c>
      <c r="AG27" s="71">
        <f t="shared" si="3"/>
        <v>0.35463728515187598</v>
      </c>
      <c r="AH27" s="71">
        <f t="shared" si="3"/>
        <v>0.354447482027826</v>
      </c>
      <c r="AI27" s="71">
        <f t="shared" si="3"/>
        <v>0.35538433901643307</v>
      </c>
      <c r="AJ27" s="71">
        <f t="shared" si="3"/>
        <v>0.35332207494266699</v>
      </c>
      <c r="AK27" s="71">
        <f t="shared" si="3"/>
        <v>0.35388874115941538</v>
      </c>
    </row>
    <row r="28" spans="1:37" ht="16.350000000000001" customHeight="1">
      <c r="B28" s="40" t="s">
        <v>2</v>
      </c>
      <c r="C28" s="9" t="s">
        <v>120</v>
      </c>
      <c r="D28" s="39"/>
      <c r="E28" s="71" t="e">
        <f t="shared" si="4"/>
        <v>#DIV/0!</v>
      </c>
      <c r="F28" s="71" t="e">
        <f t="shared" si="2"/>
        <v>#DIV/0!</v>
      </c>
      <c r="G28" s="71" t="e">
        <f t="shared" si="2"/>
        <v>#DIV/0!</v>
      </c>
      <c r="H28" s="71" t="e">
        <f t="shared" si="2"/>
        <v>#DIV/0!</v>
      </c>
      <c r="I28" s="71" t="e">
        <f t="shared" si="2"/>
        <v>#DIV/0!</v>
      </c>
      <c r="J28" s="71" t="e">
        <f t="shared" si="2"/>
        <v>#DIV/0!</v>
      </c>
      <c r="K28" s="71" t="e">
        <f t="shared" si="2"/>
        <v>#DIV/0!</v>
      </c>
      <c r="L28" s="71" t="e">
        <f t="shared" si="2"/>
        <v>#DIV/0!</v>
      </c>
      <c r="M28" s="71" t="e">
        <f t="shared" si="2"/>
        <v>#DIV/0!</v>
      </c>
      <c r="N28" s="71" t="e">
        <f t="shared" si="2"/>
        <v>#DIV/0!</v>
      </c>
      <c r="O28" s="71" t="e">
        <f t="shared" si="2"/>
        <v>#DIV/0!</v>
      </c>
      <c r="P28" s="71" t="e">
        <f t="shared" si="2"/>
        <v>#DIV/0!</v>
      </c>
      <c r="Q28" s="71" t="e">
        <f t="shared" si="2"/>
        <v>#DIV/0!</v>
      </c>
      <c r="R28" s="71" t="e">
        <f t="shared" si="2"/>
        <v>#DIV/0!</v>
      </c>
      <c r="S28" s="71" t="e">
        <f t="shared" si="2"/>
        <v>#DIV/0!</v>
      </c>
      <c r="T28" s="71" t="e">
        <f t="shared" si="2"/>
        <v>#DIV/0!</v>
      </c>
      <c r="U28" s="71" t="e">
        <f t="shared" si="2"/>
        <v>#DIV/0!</v>
      </c>
      <c r="V28" s="71" t="e">
        <f t="shared" si="2"/>
        <v>#DIV/0!</v>
      </c>
      <c r="W28" s="71" t="e">
        <f t="shared" ref="F28:AB29" si="15">W53/W13</f>
        <v>#DIV/0!</v>
      </c>
      <c r="X28" s="71" t="e">
        <f t="shared" si="15"/>
        <v>#DIV/0!</v>
      </c>
      <c r="Y28" s="71" t="e">
        <f t="shared" si="15"/>
        <v>#DIV/0!</v>
      </c>
      <c r="Z28" s="71" t="e">
        <f t="shared" si="15"/>
        <v>#DIV/0!</v>
      </c>
      <c r="AA28" s="71" t="e">
        <f t="shared" si="15"/>
        <v>#DIV/0!</v>
      </c>
      <c r="AB28" s="71"/>
      <c r="AC28" s="71"/>
      <c r="AD28" s="71"/>
      <c r="AE28" s="71"/>
      <c r="AF28" s="71"/>
      <c r="AG28" s="71"/>
      <c r="AH28" s="71"/>
      <c r="AI28" s="71"/>
      <c r="AJ28" s="71"/>
      <c r="AK28" s="71"/>
    </row>
    <row r="29" spans="1:37" ht="16.350000000000001" customHeight="1">
      <c r="B29" s="41" t="s">
        <v>108</v>
      </c>
      <c r="C29" s="9" t="s">
        <v>120</v>
      </c>
      <c r="D29" s="39"/>
      <c r="E29" s="73">
        <f t="shared" si="4"/>
        <v>0.31251963827222529</v>
      </c>
      <c r="F29" s="73">
        <f t="shared" si="15"/>
        <v>0.32716022455162513</v>
      </c>
      <c r="G29" s="73">
        <f t="shared" si="15"/>
        <v>0.34141930688199768</v>
      </c>
      <c r="H29" s="73">
        <f t="shared" si="15"/>
        <v>0.2919176132393258</v>
      </c>
      <c r="I29" s="73">
        <f t="shared" si="15"/>
        <v>0.27497074501530727</v>
      </c>
      <c r="J29" s="73">
        <f t="shared" si="15"/>
        <v>0.27143596999371589</v>
      </c>
      <c r="K29" s="73">
        <f t="shared" si="15"/>
        <v>0.2718964456887345</v>
      </c>
      <c r="L29" s="73">
        <f t="shared" si="15"/>
        <v>0.28023122101124909</v>
      </c>
      <c r="M29" s="73">
        <f t="shared" si="15"/>
        <v>0.29043375597365717</v>
      </c>
      <c r="N29" s="73">
        <f t="shared" si="15"/>
        <v>0.34873601412434785</v>
      </c>
      <c r="O29" s="73">
        <f t="shared" si="15"/>
        <v>0.34424408971056869</v>
      </c>
      <c r="P29" s="73">
        <f t="shared" si="15"/>
        <v>0.33566642036029132</v>
      </c>
      <c r="Q29" s="73">
        <f t="shared" si="15"/>
        <v>0.38549273031600034</v>
      </c>
      <c r="R29" s="73">
        <f t="shared" si="15"/>
        <v>0.3812278725366583</v>
      </c>
      <c r="S29" s="73">
        <f t="shared" si="15"/>
        <v>0.38492204540295499</v>
      </c>
      <c r="T29" s="73">
        <f t="shared" si="15"/>
        <v>0.36186905378901912</v>
      </c>
      <c r="U29" s="73">
        <f t="shared" si="15"/>
        <v>0.33620342880719539</v>
      </c>
      <c r="V29" s="73">
        <f t="shared" si="15"/>
        <v>0.32338146732953271</v>
      </c>
      <c r="W29" s="73">
        <f t="shared" si="15"/>
        <v>0.32234181139080431</v>
      </c>
      <c r="X29" s="73">
        <f t="shared" si="15"/>
        <v>0.33285599954128309</v>
      </c>
      <c r="Y29" s="73">
        <f t="shared" si="15"/>
        <v>0.35693765593488841</v>
      </c>
      <c r="Z29" s="73">
        <f t="shared" si="15"/>
        <v>0.40833830291586121</v>
      </c>
      <c r="AA29" s="73">
        <f t="shared" si="15"/>
        <v>0.39894801383758693</v>
      </c>
      <c r="AB29" s="73">
        <f t="shared" si="15"/>
        <v>0.40199924245911878</v>
      </c>
      <c r="AC29" s="73">
        <f t="shared" ref="AC29:AD29" si="16">AC54/AC14</f>
        <v>0.38464657303927208</v>
      </c>
      <c r="AD29" s="73">
        <f t="shared" si="16"/>
        <v>0.39522243664415485</v>
      </c>
      <c r="AE29" s="73">
        <f>AE54/AE14</f>
        <v>0.38653655966104655</v>
      </c>
      <c r="AF29" s="73">
        <f>AF54/AF14</f>
        <v>0.42559055292365944</v>
      </c>
      <c r="AG29" s="73">
        <f>AG54/AG14</f>
        <v>0.40591397516579919</v>
      </c>
      <c r="AH29" s="73">
        <f>AH54/AH14</f>
        <v>0.40244695764149296</v>
      </c>
      <c r="AI29" s="73">
        <f t="shared" ref="AI29:AK29" si="17">AI54/AI14</f>
        <v>0.40481957985496664</v>
      </c>
      <c r="AJ29" s="73">
        <f t="shared" si="17"/>
        <v>0.4107663828371092</v>
      </c>
      <c r="AK29" s="73">
        <f t="shared" si="17"/>
        <v>0.44142974826938597</v>
      </c>
    </row>
    <row r="30" spans="1:37" ht="16.350000000000001" customHeight="1">
      <c r="B30" s="42"/>
      <c r="C30" s="39"/>
      <c r="D30" s="39"/>
      <c r="E30" s="43"/>
      <c r="F30" s="43"/>
      <c r="G30" s="43"/>
      <c r="H30" s="43"/>
      <c r="I30" s="43"/>
      <c r="J30" s="43"/>
      <c r="K30" s="43"/>
      <c r="L30" s="43"/>
      <c r="M30" s="43"/>
    </row>
    <row r="31" spans="1:37" s="6" customFormat="1" ht="15.75" customHeight="1" thickBot="1">
      <c r="A31" s="3" t="s">
        <v>87</v>
      </c>
      <c r="B31" s="4"/>
      <c r="C31" s="4" t="s">
        <v>20</v>
      </c>
      <c r="D31" s="4" t="s">
        <v>21</v>
      </c>
      <c r="E31" s="19">
        <v>44927</v>
      </c>
      <c r="F31" s="19">
        <v>44958</v>
      </c>
      <c r="G31" s="19">
        <v>44986</v>
      </c>
      <c r="H31" s="19">
        <v>45017</v>
      </c>
      <c r="I31" s="19">
        <v>45047</v>
      </c>
      <c r="J31" s="19">
        <v>45078</v>
      </c>
      <c r="K31" s="19">
        <v>45108</v>
      </c>
      <c r="L31" s="19">
        <v>45139</v>
      </c>
      <c r="M31" s="19">
        <v>45170</v>
      </c>
      <c r="N31" s="19">
        <v>45200</v>
      </c>
      <c r="O31" s="19">
        <v>45231</v>
      </c>
      <c r="P31" s="19">
        <v>45261</v>
      </c>
      <c r="Q31" s="19">
        <v>45292</v>
      </c>
      <c r="R31" s="19">
        <v>45323</v>
      </c>
      <c r="S31" s="19">
        <v>45352</v>
      </c>
      <c r="T31" s="19">
        <v>45383</v>
      </c>
      <c r="U31" s="19">
        <v>45413</v>
      </c>
      <c r="V31" s="19">
        <v>45444</v>
      </c>
      <c r="W31" s="19">
        <v>45474</v>
      </c>
      <c r="X31" s="19">
        <v>45505</v>
      </c>
      <c r="Y31" s="19">
        <v>45536</v>
      </c>
      <c r="Z31" s="19">
        <v>45566</v>
      </c>
      <c r="AA31" s="19">
        <v>45597</v>
      </c>
      <c r="AB31" s="19">
        <v>45627</v>
      </c>
      <c r="AC31" s="19">
        <v>45658</v>
      </c>
      <c r="AD31" s="19">
        <v>45689</v>
      </c>
      <c r="AE31" s="19">
        <v>45717</v>
      </c>
    </row>
    <row r="32" spans="1:37" ht="16.350000000000001" customHeight="1">
      <c r="B32" s="44" t="s">
        <v>100</v>
      </c>
      <c r="C32" s="39" t="s">
        <v>88</v>
      </c>
      <c r="D32" s="39"/>
      <c r="E32" s="33"/>
    </row>
    <row r="33" spans="1:37" ht="16.350000000000001" customHeight="1">
      <c r="B33" s="40" t="s">
        <v>83</v>
      </c>
      <c r="C33" s="39" t="s">
        <v>88</v>
      </c>
      <c r="D33" s="37"/>
      <c r="E33" s="33"/>
    </row>
    <row r="34" spans="1:37" ht="16.350000000000001" customHeight="1">
      <c r="B34" s="40" t="s">
        <v>101</v>
      </c>
      <c r="C34" s="39" t="s">
        <v>88</v>
      </c>
      <c r="D34" s="37"/>
      <c r="E34" s="33"/>
    </row>
    <row r="35" spans="1:37" ht="16.350000000000001" customHeight="1">
      <c r="B35" s="40" t="s">
        <v>84</v>
      </c>
      <c r="C35" s="39" t="s">
        <v>88</v>
      </c>
      <c r="D35" s="39"/>
      <c r="E35" s="33"/>
    </row>
    <row r="36" spans="1:37" ht="16.350000000000001" customHeight="1">
      <c r="B36" s="40" t="s">
        <v>85</v>
      </c>
      <c r="C36" s="39" t="s">
        <v>88</v>
      </c>
      <c r="D36" s="39"/>
      <c r="E36" s="33"/>
    </row>
    <row r="37" spans="1:37" ht="16.350000000000001" customHeight="1">
      <c r="B37" s="40" t="s">
        <v>86</v>
      </c>
      <c r="C37" s="39" t="s">
        <v>88</v>
      </c>
      <c r="D37" s="39"/>
      <c r="E37" s="33"/>
    </row>
    <row r="38" spans="1:37" ht="16.350000000000001" customHeight="1">
      <c r="B38" s="40" t="s">
        <v>1</v>
      </c>
      <c r="C38" s="39" t="s">
        <v>88</v>
      </c>
      <c r="D38" s="39"/>
      <c r="E38" s="33"/>
    </row>
    <row r="39" spans="1:37" ht="16.350000000000001" customHeight="1">
      <c r="B39" s="41" t="s">
        <v>0</v>
      </c>
      <c r="C39" s="39" t="s">
        <v>88</v>
      </c>
      <c r="D39" s="39"/>
      <c r="E39" s="34"/>
    </row>
    <row r="40" spans="1:37" ht="16.350000000000001" customHeight="1">
      <c r="B40" s="42"/>
      <c r="C40" s="39"/>
      <c r="D40" s="39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</row>
    <row r="41" spans="1:37" s="6" customFormat="1" ht="15.75" customHeight="1" thickBot="1">
      <c r="A41" s="3" t="s">
        <v>89</v>
      </c>
      <c r="B41" s="4"/>
      <c r="C41" s="4" t="s">
        <v>20</v>
      </c>
      <c r="D41" s="4" t="s">
        <v>21</v>
      </c>
      <c r="E41" s="19">
        <v>44927</v>
      </c>
      <c r="F41" s="19">
        <v>44958</v>
      </c>
      <c r="G41" s="19">
        <v>44986</v>
      </c>
      <c r="H41" s="19">
        <v>45017</v>
      </c>
      <c r="I41" s="19">
        <v>45047</v>
      </c>
      <c r="J41" s="19">
        <v>45078</v>
      </c>
      <c r="K41" s="19">
        <v>45108</v>
      </c>
      <c r="L41" s="19">
        <v>45139</v>
      </c>
      <c r="M41" s="19">
        <v>45170</v>
      </c>
      <c r="N41" s="19">
        <v>45200</v>
      </c>
      <c r="O41" s="19">
        <v>45231</v>
      </c>
      <c r="P41" s="19">
        <v>45261</v>
      </c>
      <c r="Q41" s="19">
        <v>45292</v>
      </c>
      <c r="R41" s="19">
        <v>45323</v>
      </c>
      <c r="S41" s="19">
        <v>45352</v>
      </c>
      <c r="T41" s="19">
        <v>45383</v>
      </c>
      <c r="U41" s="19">
        <v>45413</v>
      </c>
      <c r="V41" s="19">
        <v>45444</v>
      </c>
      <c r="W41" s="19">
        <v>45474</v>
      </c>
      <c r="X41" s="19">
        <v>45505</v>
      </c>
      <c r="Y41" s="19">
        <v>45536</v>
      </c>
      <c r="Z41" s="19">
        <v>45566</v>
      </c>
      <c r="AA41" s="19">
        <v>45597</v>
      </c>
      <c r="AB41" s="19">
        <v>45627</v>
      </c>
      <c r="AC41" s="19">
        <v>45658</v>
      </c>
      <c r="AD41" s="19">
        <v>45689</v>
      </c>
      <c r="AE41" s="19">
        <v>45717</v>
      </c>
      <c r="AF41" s="19">
        <v>45748</v>
      </c>
      <c r="AG41" s="19">
        <v>45778</v>
      </c>
      <c r="AH41" s="19">
        <v>45809</v>
      </c>
      <c r="AI41" s="19">
        <v>45839</v>
      </c>
      <c r="AJ41" s="19">
        <v>45870</v>
      </c>
      <c r="AK41" s="19">
        <v>45901</v>
      </c>
    </row>
    <row r="42" spans="1:37" ht="16.350000000000001" customHeight="1">
      <c r="B42" s="44" t="s">
        <v>111</v>
      </c>
      <c r="C42" s="39" t="s">
        <v>119</v>
      </c>
      <c r="D42" s="37"/>
      <c r="E42" s="64">
        <v>151887581.18650103</v>
      </c>
      <c r="F42" s="64">
        <v>139885268.54100001</v>
      </c>
      <c r="G42" s="64">
        <v>149722310.35611501</v>
      </c>
      <c r="H42" s="64">
        <v>137219048.70118177</v>
      </c>
      <c r="I42" s="64">
        <v>147506332.82872003</v>
      </c>
      <c r="J42" s="64">
        <v>150749426.65304998</v>
      </c>
      <c r="K42" s="64">
        <v>166174901.33248502</v>
      </c>
      <c r="L42" s="64">
        <v>170676592.95917505</v>
      </c>
      <c r="M42" s="64">
        <v>157101704.12269598</v>
      </c>
      <c r="N42" s="64">
        <v>160311038.32073</v>
      </c>
      <c r="O42" s="64">
        <v>170084527.81910002</v>
      </c>
      <c r="P42" s="64">
        <v>194107243.01742506</v>
      </c>
      <c r="Q42" s="64">
        <v>217966573.96767005</v>
      </c>
      <c r="R42" s="64">
        <v>198296061.82452002</v>
      </c>
      <c r="S42" s="64">
        <v>175930881.39677003</v>
      </c>
      <c r="T42" s="64">
        <v>175769106.62091997</v>
      </c>
      <c r="U42" s="64">
        <v>193929252.546</v>
      </c>
      <c r="V42" s="64">
        <v>201582984.44416797</v>
      </c>
      <c r="W42" s="64">
        <v>223288259.094042</v>
      </c>
      <c r="X42" s="64">
        <v>236158460.62873396</v>
      </c>
      <c r="Y42" s="64">
        <v>216047581.05757543</v>
      </c>
      <c r="Z42" s="64">
        <v>223978342.67885002</v>
      </c>
      <c r="AA42" s="64">
        <v>237528322.56737003</v>
      </c>
      <c r="AB42" s="64">
        <v>278107283.85861504</v>
      </c>
      <c r="AC42" s="64">
        <v>250247929.14584723</v>
      </c>
      <c r="AD42" s="64">
        <v>242106663.71519491</v>
      </c>
      <c r="AE42" s="64">
        <v>229830599.9428789</v>
      </c>
      <c r="AF42" s="64">
        <v>256538298.38354397</v>
      </c>
      <c r="AG42" s="64">
        <v>305660138.75575197</v>
      </c>
      <c r="AH42" s="64">
        <v>313391312.97567987</v>
      </c>
      <c r="AI42" s="64">
        <v>349635464.99375796</v>
      </c>
      <c r="AJ42" s="64">
        <v>345866490.99929005</v>
      </c>
      <c r="AK42" s="64">
        <v>328902941.56204104</v>
      </c>
    </row>
    <row r="43" spans="1:37" ht="16.350000000000001" customHeight="1">
      <c r="B43" s="40" t="s">
        <v>112</v>
      </c>
      <c r="C43" s="39" t="s">
        <v>119</v>
      </c>
      <c r="D43" s="39"/>
      <c r="E43" s="64">
        <v>709407.23399999994</v>
      </c>
      <c r="F43" s="64">
        <v>171727.17199999999</v>
      </c>
      <c r="G43" s="64">
        <v>1771062.0750000002</v>
      </c>
      <c r="H43" s="64">
        <v>743095.86100000003</v>
      </c>
      <c r="I43" s="64">
        <v>145544.41199999955</v>
      </c>
      <c r="J43" s="64">
        <v>-315002.26900000125</v>
      </c>
      <c r="K43" s="64">
        <v>75167.688000000082</v>
      </c>
      <c r="L43" s="64">
        <v>53180.944000000134</v>
      </c>
      <c r="M43" s="64">
        <v>71675.449000000954</v>
      </c>
      <c r="N43" s="64">
        <v>433890.46700000018</v>
      </c>
      <c r="O43" s="64">
        <v>597299.23699999973</v>
      </c>
      <c r="P43" s="64">
        <v>603679.41700000037</v>
      </c>
      <c r="Q43" s="64">
        <v>566304.81600000011</v>
      </c>
      <c r="R43" s="64">
        <v>529191.92400000012</v>
      </c>
      <c r="S43" s="64">
        <v>573095.72800000012</v>
      </c>
      <c r="T43" s="64">
        <v>490997.74200000009</v>
      </c>
      <c r="U43" s="64">
        <v>45513.446999999695</v>
      </c>
      <c r="V43" s="64">
        <v>87201.325000000186</v>
      </c>
      <c r="W43" s="64">
        <v>125821.00699999928</v>
      </c>
      <c r="X43" s="64">
        <v>107721.8909999989</v>
      </c>
      <c r="Y43" s="64">
        <v>100599.02400000021</v>
      </c>
      <c r="Z43" s="64">
        <v>557356.67900000047</v>
      </c>
      <c r="AA43" s="64">
        <v>1118283.2719000001</v>
      </c>
      <c r="AB43" s="64">
        <v>646450.04330000014</v>
      </c>
      <c r="AC43" s="64">
        <v>672522.73399999994</v>
      </c>
      <c r="AD43" s="64">
        <v>608655.58999999985</v>
      </c>
      <c r="AE43" s="64">
        <v>1275920.1231209999</v>
      </c>
      <c r="AF43" s="64">
        <v>246960.58814699983</v>
      </c>
      <c r="AG43" s="64">
        <v>120653.29878599988</v>
      </c>
      <c r="AH43" s="64">
        <v>103061.25399999972</v>
      </c>
      <c r="AI43" s="64">
        <v>155796.7447240008</v>
      </c>
      <c r="AJ43" s="64">
        <v>155597.55999999959</v>
      </c>
      <c r="AK43" s="64">
        <v>302446.07459199987</v>
      </c>
    </row>
    <row r="44" spans="1:37" ht="16.350000000000001" customHeight="1">
      <c r="B44" s="40" t="s">
        <v>113</v>
      </c>
      <c r="C44" s="39" t="s">
        <v>119</v>
      </c>
      <c r="D44" s="39"/>
      <c r="E44" s="64">
        <v>1421566.00951</v>
      </c>
      <c r="F44" s="64">
        <v>1231411.3130000001</v>
      </c>
      <c r="G44" s="64">
        <v>858306.86903000006</v>
      </c>
      <c r="H44" s="64">
        <v>622792.75272500003</v>
      </c>
      <c r="I44" s="64">
        <v>558472.70846500003</v>
      </c>
      <c r="J44" s="64">
        <v>652490.39064999996</v>
      </c>
      <c r="K44" s="64">
        <v>1453737.04786</v>
      </c>
      <c r="L44" s="64">
        <v>475660.69236999995</v>
      </c>
      <c r="M44" s="64">
        <v>529265.44894499995</v>
      </c>
      <c r="N44" s="64">
        <v>529461.43151500006</v>
      </c>
      <c r="O44" s="64">
        <v>1088627.2114549999</v>
      </c>
      <c r="P44" s="64">
        <v>1114336.40741</v>
      </c>
      <c r="Q44" s="64">
        <v>1089969.1411420002</v>
      </c>
      <c r="R44" s="64">
        <v>1346623.2139560003</v>
      </c>
      <c r="S44" s="64">
        <v>817565.30275600008</v>
      </c>
      <c r="T44" s="64">
        <v>684872.18707999995</v>
      </c>
      <c r="U44" s="64">
        <v>609940.66299999994</v>
      </c>
      <c r="V44" s="64">
        <v>589093.85901599994</v>
      </c>
      <c r="W44" s="64">
        <v>698613.30318200006</v>
      </c>
      <c r="X44" s="64">
        <v>687512.69963799999</v>
      </c>
      <c r="Y44" s="64">
        <v>673504.4514260001</v>
      </c>
      <c r="Z44" s="64">
        <v>854084.72866800008</v>
      </c>
      <c r="AA44" s="64">
        <v>1106405.379434</v>
      </c>
      <c r="AB44" s="64">
        <v>1577787.312314</v>
      </c>
      <c r="AC44" s="64">
        <v>1530947.253124</v>
      </c>
      <c r="AD44" s="64">
        <v>1482583.905148</v>
      </c>
      <c r="AE44" s="64">
        <v>949801.09074000001</v>
      </c>
      <c r="AF44" s="64">
        <v>813132.34602699988</v>
      </c>
      <c r="AG44" s="64">
        <v>943223.92164900003</v>
      </c>
      <c r="AH44" s="64">
        <v>767427.83741099993</v>
      </c>
      <c r="AI44" s="64">
        <v>1369788.090021</v>
      </c>
      <c r="AJ44" s="64">
        <v>994066.86126000003</v>
      </c>
      <c r="AK44" s="64">
        <v>914183.27339500003</v>
      </c>
    </row>
    <row r="45" spans="1:37" ht="16.350000000000001" customHeight="1">
      <c r="B45" s="40" t="s">
        <v>114</v>
      </c>
      <c r="C45" s="39" t="s">
        <v>119</v>
      </c>
      <c r="D45" s="39"/>
      <c r="E45" s="64">
        <v>28309629.345964998</v>
      </c>
      <c r="F45" s="64">
        <v>19922134.496000003</v>
      </c>
      <c r="G45" s="64">
        <v>17547703.863805</v>
      </c>
      <c r="H45" s="64">
        <v>10848089.662813054</v>
      </c>
      <c r="I45" s="64">
        <v>10790554.280424999</v>
      </c>
      <c r="J45" s="64">
        <v>12074985.088945001</v>
      </c>
      <c r="K45" s="64">
        <v>12281337.47266</v>
      </c>
      <c r="L45" s="64">
        <v>11602438.378164999</v>
      </c>
      <c r="M45" s="64">
        <v>11054800.050890002</v>
      </c>
      <c r="N45" s="64">
        <v>12054572.412380002</v>
      </c>
      <c r="O45" s="64">
        <v>17161417.317049999</v>
      </c>
      <c r="P45" s="64">
        <v>21955303.868685</v>
      </c>
      <c r="Q45" s="64">
        <v>25768967.150049999</v>
      </c>
      <c r="R45" s="64">
        <v>27100267.35605</v>
      </c>
      <c r="S45" s="64">
        <v>19663450.382550001</v>
      </c>
      <c r="T45" s="64">
        <v>13934857.601049999</v>
      </c>
      <c r="U45" s="64">
        <v>14059135.935600001</v>
      </c>
      <c r="V45" s="64">
        <v>13903879.337350002</v>
      </c>
      <c r="W45" s="64">
        <v>15021954.386540001</v>
      </c>
      <c r="X45" s="64">
        <v>15960525.357881</v>
      </c>
      <c r="Y45" s="64">
        <v>13614708.081449999</v>
      </c>
      <c r="Z45" s="64">
        <v>15721418.9036</v>
      </c>
      <c r="AA45" s="64">
        <v>22025786.55384</v>
      </c>
      <c r="AB45" s="64">
        <v>27424203.410464</v>
      </c>
      <c r="AC45" s="64">
        <v>30003977.173149996</v>
      </c>
      <c r="AD45" s="64">
        <v>24807554.826000001</v>
      </c>
      <c r="AE45" s="64">
        <v>23792477.353866998</v>
      </c>
      <c r="AF45" s="64">
        <v>17100453.844574001</v>
      </c>
      <c r="AG45" s="64">
        <v>16318023.034345999</v>
      </c>
      <c r="AH45" s="64">
        <v>18753061.885770001</v>
      </c>
      <c r="AI45" s="64">
        <v>19898910.971059002</v>
      </c>
      <c r="AJ45" s="64">
        <v>18358426.113769002</v>
      </c>
      <c r="AK45" s="64">
        <v>15076375.307542</v>
      </c>
    </row>
    <row r="46" spans="1:37" ht="16.350000000000001" customHeight="1">
      <c r="B46" s="40" t="s">
        <v>85</v>
      </c>
      <c r="C46" s="39" t="s">
        <v>119</v>
      </c>
      <c r="D46" s="39"/>
      <c r="E46" s="64">
        <v>4491048.8644000003</v>
      </c>
      <c r="F46" s="64">
        <v>3407379.46</v>
      </c>
      <c r="G46" s="64">
        <v>11283049.037100002</v>
      </c>
      <c r="H46" s="64">
        <v>19896666.318999998</v>
      </c>
      <c r="I46" s="64">
        <v>27702000.118000001</v>
      </c>
      <c r="J46" s="64">
        <v>34317509.734999999</v>
      </c>
      <c r="K46" s="64">
        <v>36924255.403520003</v>
      </c>
      <c r="L46" s="64">
        <v>33052459.813999999</v>
      </c>
      <c r="M46" s="64">
        <v>24775052.452999994</v>
      </c>
      <c r="N46" s="64">
        <v>8432131.8747000005</v>
      </c>
      <c r="O46" s="64">
        <v>5877583.5978999995</v>
      </c>
      <c r="P46" s="64">
        <v>4926880.9887999995</v>
      </c>
      <c r="Q46" s="64">
        <v>5283031.858</v>
      </c>
      <c r="R46" s="64">
        <v>6265424.6509999996</v>
      </c>
      <c r="S46" s="64">
        <v>3473140.9650000008</v>
      </c>
      <c r="T46" s="64">
        <v>11025794.728300001</v>
      </c>
      <c r="U46" s="64">
        <v>25651604.722999997</v>
      </c>
      <c r="V46" s="64">
        <v>30553817.364200003</v>
      </c>
      <c r="W46" s="64">
        <v>34752063.041499995</v>
      </c>
      <c r="X46" s="64">
        <v>37651233.770299993</v>
      </c>
      <c r="Y46" s="64">
        <v>22519770.422200002</v>
      </c>
      <c r="Z46" s="64">
        <v>12299925.193</v>
      </c>
      <c r="AA46" s="64">
        <v>5576496.2190000005</v>
      </c>
      <c r="AB46" s="64">
        <v>3510945.5591100003</v>
      </c>
      <c r="AC46" s="64">
        <v>4716923.011500001</v>
      </c>
      <c r="AD46" s="64">
        <v>4328648.12</v>
      </c>
      <c r="AE46" s="64">
        <v>9486264.090530999</v>
      </c>
      <c r="AF46" s="64">
        <v>19173201.457902998</v>
      </c>
      <c r="AG46" s="64">
        <v>41573573.849381</v>
      </c>
      <c r="AH46" s="64">
        <v>45290983.993180998</v>
      </c>
      <c r="AI46" s="64">
        <v>50561081.213766001</v>
      </c>
      <c r="AJ46" s="64">
        <v>43371025.757799998</v>
      </c>
      <c r="AK46" s="64">
        <v>29614997.177313998</v>
      </c>
    </row>
    <row r="47" spans="1:37" ht="16.350000000000001" customHeight="1">
      <c r="B47" s="40" t="s">
        <v>115</v>
      </c>
      <c r="C47" s="39" t="s">
        <v>119</v>
      </c>
      <c r="D47" s="39"/>
      <c r="E47" s="64">
        <v>9752779.9378000014</v>
      </c>
      <c r="F47" s="64">
        <v>6957505.2279999992</v>
      </c>
      <c r="G47" s="64">
        <v>7285622.6370000001</v>
      </c>
      <c r="H47" s="64">
        <v>5302671.5713</v>
      </c>
      <c r="I47" s="64">
        <v>6791970.9540000008</v>
      </c>
      <c r="J47" s="64">
        <v>6345339.8449999997</v>
      </c>
      <c r="K47" s="64">
        <v>6227991.0949400002</v>
      </c>
      <c r="L47" s="64">
        <v>7045988.5619999999</v>
      </c>
      <c r="M47" s="64">
        <v>5548454.2479000008</v>
      </c>
      <c r="N47" s="64">
        <v>5841719.6023999993</v>
      </c>
      <c r="O47" s="64">
        <v>7968852.7320000008</v>
      </c>
      <c r="P47" s="64">
        <v>6357169.5390999997</v>
      </c>
      <c r="Q47" s="64">
        <v>7851408.3590000002</v>
      </c>
      <c r="R47" s="64">
        <v>8197812.7596000005</v>
      </c>
      <c r="S47" s="64">
        <v>6913882.7946999995</v>
      </c>
      <c r="T47" s="64">
        <v>6548351.9866000004</v>
      </c>
      <c r="U47" s="64">
        <v>6608756.6866999995</v>
      </c>
      <c r="V47" s="64">
        <v>8550053.5536000002</v>
      </c>
      <c r="W47" s="64">
        <v>9412025.3602230009</v>
      </c>
      <c r="X47" s="64">
        <v>8718654.8911719993</v>
      </c>
      <c r="Y47" s="64">
        <v>7596853.3350129994</v>
      </c>
      <c r="Z47" s="64">
        <v>8061811.2070200006</v>
      </c>
      <c r="AA47" s="64">
        <v>9282830.6638300009</v>
      </c>
      <c r="AB47" s="64">
        <v>10301952.98965</v>
      </c>
      <c r="AC47" s="64">
        <v>9737482.0144999996</v>
      </c>
      <c r="AD47" s="64">
        <v>7149544.3502470013</v>
      </c>
      <c r="AE47" s="64">
        <v>7931926.456894001</v>
      </c>
      <c r="AF47" s="64">
        <v>5894969.9704219997</v>
      </c>
      <c r="AG47" s="64">
        <v>5922812.3564950004</v>
      </c>
      <c r="AH47" s="64">
        <v>7267001.8430359997</v>
      </c>
      <c r="AI47" s="64">
        <v>7863202.0036479989</v>
      </c>
      <c r="AJ47" s="64">
        <v>7664506.7827000003</v>
      </c>
      <c r="AK47" s="64">
        <v>5762552.1178289996</v>
      </c>
    </row>
    <row r="48" spans="1:37" ht="16.350000000000001" customHeight="1">
      <c r="B48" s="40" t="s">
        <v>116</v>
      </c>
      <c r="C48" s="39" t="s">
        <v>119</v>
      </c>
      <c r="D48" s="39"/>
      <c r="E48" s="64">
        <v>1375120.7650000001</v>
      </c>
      <c r="F48" s="64">
        <v>777274.924</v>
      </c>
      <c r="G48" s="64">
        <v>1871009.6640000001</v>
      </c>
      <c r="H48" s="64">
        <v>1137428.9099999999</v>
      </c>
      <c r="I48" s="64">
        <v>2170785.67</v>
      </c>
      <c r="J48" s="64">
        <v>3185060.6879999996</v>
      </c>
      <c r="K48" s="64">
        <v>3509511.588</v>
      </c>
      <c r="L48" s="64">
        <v>2372015.8260000004</v>
      </c>
      <c r="M48" s="64">
        <v>1333062.6379999998</v>
      </c>
      <c r="N48" s="64">
        <v>870108.60800000001</v>
      </c>
      <c r="O48" s="64">
        <v>737761.95199999982</v>
      </c>
      <c r="P48" s="64">
        <v>1123118.122</v>
      </c>
      <c r="Q48" s="64">
        <v>1315879.5750000002</v>
      </c>
      <c r="R48" s="64">
        <v>873889.86979999999</v>
      </c>
      <c r="S48" s="64">
        <v>919224.59720000008</v>
      </c>
      <c r="T48" s="64">
        <v>2147233.2070999998</v>
      </c>
      <c r="U48" s="64">
        <v>6059809.5869999994</v>
      </c>
      <c r="V48" s="64">
        <v>11273257.820999999</v>
      </c>
      <c r="W48" s="64">
        <v>12425741.308</v>
      </c>
      <c r="X48" s="64">
        <v>6483767.5099999998</v>
      </c>
      <c r="Y48" s="64">
        <v>4330326.5125000002</v>
      </c>
      <c r="Z48" s="64">
        <v>1707874.4762999997</v>
      </c>
      <c r="AA48" s="64">
        <v>1223482.71</v>
      </c>
      <c r="AB48" s="64">
        <v>1535309.1914999997</v>
      </c>
      <c r="AC48" s="64">
        <v>1266902.017</v>
      </c>
      <c r="AD48" s="64">
        <v>1240735.8</v>
      </c>
      <c r="AE48" s="64">
        <v>2230547.4458245793</v>
      </c>
      <c r="AF48" s="64">
        <v>1707833.7119999998</v>
      </c>
      <c r="AG48" s="64">
        <v>1751353.69</v>
      </c>
      <c r="AH48" s="64">
        <v>849789.74469999992</v>
      </c>
      <c r="AI48" s="64">
        <v>1845779.8997</v>
      </c>
      <c r="AJ48" s="64">
        <v>1068207.2290999999</v>
      </c>
      <c r="AK48" s="64">
        <v>465270.39707199996</v>
      </c>
    </row>
    <row r="49" spans="1:37" ht="16.350000000000001" customHeight="1">
      <c r="B49" s="40" t="s">
        <v>117</v>
      </c>
      <c r="C49" s="39" t="s">
        <v>119</v>
      </c>
      <c r="D49" s="39"/>
      <c r="E49" s="64">
        <v>26184761.219999999</v>
      </c>
      <c r="F49" s="64">
        <v>23323610.340000004</v>
      </c>
      <c r="G49" s="64">
        <v>25028535.920000002</v>
      </c>
      <c r="H49" s="64">
        <v>24155079.960000001</v>
      </c>
      <c r="I49" s="64">
        <v>18912950.099999998</v>
      </c>
      <c r="J49" s="64">
        <v>21507028.940000001</v>
      </c>
      <c r="K49" s="64">
        <v>22713823</v>
      </c>
      <c r="L49" s="64">
        <v>23451563.880000003</v>
      </c>
      <c r="M49" s="64">
        <v>22894287.330000002</v>
      </c>
      <c r="N49" s="64">
        <v>23918610.940000001</v>
      </c>
      <c r="O49" s="64">
        <v>23424969.239999998</v>
      </c>
      <c r="P49" s="64">
        <v>24770316.740000002</v>
      </c>
      <c r="Q49" s="64">
        <v>29500489.959999997</v>
      </c>
      <c r="R49" s="64">
        <v>27989389.800000001</v>
      </c>
      <c r="S49" s="64">
        <v>29780046.239999998</v>
      </c>
      <c r="T49" s="64">
        <v>28909264.789999999</v>
      </c>
      <c r="U49" s="64">
        <v>30063188.664999999</v>
      </c>
      <c r="V49" s="64">
        <v>29513183.149999999</v>
      </c>
      <c r="W49" s="64">
        <v>31062744.149999999</v>
      </c>
      <c r="X49" s="64">
        <v>31601393.239999998</v>
      </c>
      <c r="Y49" s="64">
        <v>30771543.119999997</v>
      </c>
      <c r="Z49" s="64">
        <v>31945221.509000003</v>
      </c>
      <c r="AA49" s="64">
        <v>32063566.744680002</v>
      </c>
      <c r="AB49" s="64">
        <v>35630615.528999999</v>
      </c>
      <c r="AC49" s="64">
        <v>37011849.915199995</v>
      </c>
      <c r="AD49" s="64">
        <v>33600565.450999998</v>
      </c>
      <c r="AE49" s="64">
        <v>37265091.387400001</v>
      </c>
      <c r="AF49" s="64">
        <v>41245818.608599998</v>
      </c>
      <c r="AG49" s="64">
        <v>41859337.675800003</v>
      </c>
      <c r="AH49" s="64">
        <v>39232047.585199997</v>
      </c>
      <c r="AI49" s="64">
        <v>35745185.649999999</v>
      </c>
      <c r="AJ49" s="64">
        <v>34268513.357800007</v>
      </c>
      <c r="AK49" s="64">
        <v>34160083.684199996</v>
      </c>
    </row>
    <row r="50" spans="1:37" ht="16.350000000000001" customHeight="1">
      <c r="B50" s="40" t="s">
        <v>118</v>
      </c>
      <c r="C50" s="39" t="s">
        <v>119</v>
      </c>
      <c r="D50" s="39"/>
      <c r="E50" s="64">
        <v>408405.19</v>
      </c>
      <c r="F50" s="64">
        <v>302712.53000000003</v>
      </c>
      <c r="G50" s="64">
        <v>209905.42</v>
      </c>
      <c r="H50" s="64">
        <v>181610.8884</v>
      </c>
      <c r="I50" s="64">
        <v>103148.67</v>
      </c>
      <c r="J50" s="64">
        <v>0</v>
      </c>
      <c r="K50" s="64">
        <v>0</v>
      </c>
      <c r="L50" s="64">
        <v>285094.30119999999</v>
      </c>
      <c r="M50" s="64">
        <v>0</v>
      </c>
      <c r="N50" s="64">
        <v>0</v>
      </c>
      <c r="O50" s="64">
        <v>372710.58</v>
      </c>
      <c r="P50" s="64">
        <v>307510.03999999998</v>
      </c>
      <c r="Q50" s="64">
        <v>404906.92</v>
      </c>
      <c r="R50" s="64">
        <v>405383.8</v>
      </c>
      <c r="S50" s="64">
        <v>199459.75</v>
      </c>
      <c r="T50" s="64">
        <v>185053.04</v>
      </c>
      <c r="U50" s="64">
        <v>254246.62</v>
      </c>
      <c r="V50" s="64">
        <v>233304.35</v>
      </c>
      <c r="W50" s="64">
        <v>268180.98</v>
      </c>
      <c r="X50" s="64">
        <v>314995.90000000002</v>
      </c>
      <c r="Y50" s="64">
        <v>244162.4</v>
      </c>
      <c r="Z50" s="64">
        <v>238425.15</v>
      </c>
      <c r="AA50" s="64">
        <v>374189.59</v>
      </c>
      <c r="AB50" s="64">
        <v>509242.93</v>
      </c>
      <c r="AC50" s="64">
        <v>554513.29</v>
      </c>
      <c r="AD50" s="64">
        <v>429193.03</v>
      </c>
      <c r="AE50" s="64">
        <v>358932.21</v>
      </c>
      <c r="AF50" s="64">
        <v>271390.25</v>
      </c>
      <c r="AG50" s="64">
        <v>266961.27</v>
      </c>
      <c r="AH50" s="64">
        <v>297853.03000000003</v>
      </c>
      <c r="AI50" s="64">
        <v>321380.76</v>
      </c>
      <c r="AJ50" s="64">
        <v>370877.21</v>
      </c>
      <c r="AK50" s="64">
        <v>326304.46000000002</v>
      </c>
    </row>
    <row r="51" spans="1:37" ht="16.350000000000001" customHeight="1">
      <c r="B51" s="40" t="s">
        <v>101</v>
      </c>
      <c r="C51" s="39" t="s">
        <v>119</v>
      </c>
      <c r="D51" s="39"/>
      <c r="E51" s="64"/>
      <c r="F51" s="64"/>
      <c r="G51" s="64"/>
      <c r="H51" s="64"/>
      <c r="I51" s="64">
        <v>5971461.4800000004</v>
      </c>
      <c r="J51" s="64">
        <v>10583479.341100002</v>
      </c>
      <c r="K51" s="64">
        <v>6497687.6799999997</v>
      </c>
      <c r="L51" s="64">
        <v>7304350.1200000001</v>
      </c>
      <c r="M51" s="64">
        <v>6393094.7199999997</v>
      </c>
      <c r="N51" s="64">
        <v>6409927.04</v>
      </c>
      <c r="O51" s="64">
        <v>6731500.1600000001</v>
      </c>
      <c r="P51" s="64">
        <v>4008138.24</v>
      </c>
      <c r="Q51" s="64">
        <v>2109539.0284799999</v>
      </c>
      <c r="R51" s="64">
        <v>3231316.1376</v>
      </c>
      <c r="S51" s="64">
        <v>2422565.9193599997</v>
      </c>
      <c r="T51" s="64">
        <v>2449692.15</v>
      </c>
      <c r="U51" s="64">
        <v>7291436.5800000001</v>
      </c>
      <c r="V51" s="64">
        <v>7420912.0800000001</v>
      </c>
      <c r="W51" s="64">
        <v>7985185.4495999999</v>
      </c>
      <c r="X51" s="64">
        <v>8455558.8979200013</v>
      </c>
      <c r="Y51" s="64">
        <v>7613049.54</v>
      </c>
      <c r="Z51" s="64">
        <v>6284290.4100000001</v>
      </c>
      <c r="AA51" s="64">
        <v>723946.75595999998</v>
      </c>
      <c r="AB51" s="64">
        <v>144334.96</v>
      </c>
      <c r="AC51" s="64">
        <v>432941.44845600001</v>
      </c>
      <c r="AD51" s="64">
        <v>1228433.6000000001</v>
      </c>
      <c r="AE51" s="64">
        <v>1012782.37</v>
      </c>
      <c r="AF51" s="64">
        <v>909300.08</v>
      </c>
      <c r="AG51" s="64">
        <v>1960913.55</v>
      </c>
      <c r="AH51" s="64">
        <v>4659175.04</v>
      </c>
      <c r="AI51" s="64">
        <v>4721903.68</v>
      </c>
      <c r="AJ51" s="64">
        <v>5436246.4000000004</v>
      </c>
      <c r="AK51" s="64">
        <v>5089223.3600000003</v>
      </c>
    </row>
    <row r="52" spans="1:37" ht="16.350000000000001" customHeight="1">
      <c r="B52" s="40" t="s">
        <v>86</v>
      </c>
      <c r="C52" s="39" t="s">
        <v>119</v>
      </c>
      <c r="D52" s="39"/>
      <c r="E52" s="64">
        <v>244314200.70309997</v>
      </c>
      <c r="F52" s="64">
        <v>167662170.23199999</v>
      </c>
      <c r="G52" s="64">
        <v>124614241.4764</v>
      </c>
      <c r="H52" s="64">
        <v>106350296.92217663</v>
      </c>
      <c r="I52" s="64">
        <v>93117796.716625005</v>
      </c>
      <c r="J52" s="64">
        <v>94525456.111900017</v>
      </c>
      <c r="K52" s="64">
        <v>100785630.2343</v>
      </c>
      <c r="L52" s="64">
        <v>95367409.210399985</v>
      </c>
      <c r="M52" s="64">
        <v>87651341.365700006</v>
      </c>
      <c r="N52" s="64">
        <v>102221026.21260001</v>
      </c>
      <c r="O52" s="64">
        <v>132386827.5571</v>
      </c>
      <c r="P52" s="64">
        <v>201656552.60190001</v>
      </c>
      <c r="Q52" s="64">
        <v>231360283.30300006</v>
      </c>
      <c r="R52" s="64">
        <v>220902989.65600002</v>
      </c>
      <c r="S52" s="64">
        <v>165618831.11800003</v>
      </c>
      <c r="T52" s="64">
        <v>123461024.41700001</v>
      </c>
      <c r="U52" s="64">
        <v>114704503.91800001</v>
      </c>
      <c r="V52" s="64">
        <v>116654105.42243399</v>
      </c>
      <c r="W52" s="64">
        <v>129902805.98394902</v>
      </c>
      <c r="X52" s="64">
        <v>133146921.81694199</v>
      </c>
      <c r="Y52" s="64">
        <v>109483185.76891199</v>
      </c>
      <c r="Z52" s="64">
        <v>128149266.20254999</v>
      </c>
      <c r="AA52" s="64">
        <v>188945837.51859999</v>
      </c>
      <c r="AB52" s="64">
        <v>269497043.44249302</v>
      </c>
      <c r="AC52" s="64">
        <v>267804223.08926004</v>
      </c>
      <c r="AD52" s="64">
        <v>222187124.18977803</v>
      </c>
      <c r="AE52" s="64">
        <v>204164845.73473698</v>
      </c>
      <c r="AF52" s="64">
        <v>162985120.83356899</v>
      </c>
      <c r="AG52" s="64">
        <v>159140856.19554701</v>
      </c>
      <c r="AH52" s="64">
        <v>169993308.70076698</v>
      </c>
      <c r="AI52" s="64">
        <v>201372774.83716795</v>
      </c>
      <c r="AJ52" s="64">
        <v>186271265.81007001</v>
      </c>
      <c r="AK52" s="64">
        <v>152912633.84824401</v>
      </c>
    </row>
    <row r="53" spans="1:37" ht="16.350000000000001" customHeight="1">
      <c r="B53" s="40" t="s">
        <v>2</v>
      </c>
      <c r="C53" s="39" t="s">
        <v>119</v>
      </c>
      <c r="D53" s="39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5"/>
    </row>
    <row r="54" spans="1:37" ht="16.350000000000001" customHeight="1">
      <c r="B54" s="41" t="s">
        <v>108</v>
      </c>
      <c r="C54" s="39" t="s">
        <v>119</v>
      </c>
      <c r="D54" s="39"/>
      <c r="E54" s="66">
        <f>SUBTOTAL(9,E42:E52)</f>
        <v>468854500.45627594</v>
      </c>
      <c r="F54" s="66">
        <f t="shared" ref="F54:AK54" si="18">SUBTOTAL(9,F42:F52)</f>
        <v>363641194.23599994</v>
      </c>
      <c r="G54" s="66">
        <f t="shared" si="18"/>
        <v>340191747.31844997</v>
      </c>
      <c r="H54" s="66">
        <f t="shared" si="18"/>
        <v>306456781.5485965</v>
      </c>
      <c r="I54" s="66">
        <f t="shared" si="18"/>
        <v>313771017.93823504</v>
      </c>
      <c r="J54" s="66">
        <f>SUBTOTAL(9,J42:J52)</f>
        <v>333625774.52464497</v>
      </c>
      <c r="K54" s="66">
        <f t="shared" si="18"/>
        <v>356644042.54176503</v>
      </c>
      <c r="L54" s="66">
        <f t="shared" si="18"/>
        <v>351686754.6873101</v>
      </c>
      <c r="M54" s="66">
        <f t="shared" si="18"/>
        <v>317352737.82613099</v>
      </c>
      <c r="N54" s="66">
        <f t="shared" si="18"/>
        <v>321022486.90932506</v>
      </c>
      <c r="O54" s="66">
        <f t="shared" si="18"/>
        <v>366432077.40360498</v>
      </c>
      <c r="P54" s="66">
        <f t="shared" si="18"/>
        <v>460930248.98232007</v>
      </c>
      <c r="Q54" s="66">
        <f t="shared" si="18"/>
        <v>523217354.07834208</v>
      </c>
      <c r="R54" s="66">
        <f t="shared" si="18"/>
        <v>495138350.99252605</v>
      </c>
      <c r="S54" s="66">
        <f t="shared" si="18"/>
        <v>406312144.19433612</v>
      </c>
      <c r="T54" s="66">
        <f t="shared" si="18"/>
        <v>365606248.47004998</v>
      </c>
      <c r="U54" s="66">
        <f t="shared" si="18"/>
        <v>399277389.37129998</v>
      </c>
      <c r="V54" s="66">
        <f t="shared" si="18"/>
        <v>420361792.70676798</v>
      </c>
      <c r="W54" s="66">
        <f t="shared" si="18"/>
        <v>464943394.06403601</v>
      </c>
      <c r="X54" s="66">
        <f t="shared" si="18"/>
        <v>479286746.60358691</v>
      </c>
      <c r="Y54" s="66">
        <f t="shared" si="18"/>
        <v>412995283.71307635</v>
      </c>
      <c r="Z54" s="66">
        <f t="shared" si="18"/>
        <v>429798017.13798803</v>
      </c>
      <c r="AA54" s="66">
        <f t="shared" si="18"/>
        <v>499969147.97461396</v>
      </c>
      <c r="AB54" s="66">
        <f t="shared" si="18"/>
        <v>628885169.22644591</v>
      </c>
      <c r="AC54" s="66">
        <f t="shared" si="18"/>
        <v>603980211.09203732</v>
      </c>
      <c r="AD54" s="66">
        <f t="shared" si="18"/>
        <v>539169702.57736802</v>
      </c>
      <c r="AE54" s="66">
        <f t="shared" si="18"/>
        <v>518299188.20599341</v>
      </c>
      <c r="AF54" s="66">
        <f t="shared" si="18"/>
        <v>506886480.07478595</v>
      </c>
      <c r="AG54" s="66">
        <f t="shared" si="18"/>
        <v>575517847.59775603</v>
      </c>
      <c r="AH54" s="66">
        <f t="shared" si="18"/>
        <v>600605023.88974488</v>
      </c>
      <c r="AI54" s="66">
        <f t="shared" si="18"/>
        <v>673491268.84384382</v>
      </c>
      <c r="AJ54" s="66">
        <f>SUBTOTAL(9,AJ42:AJ52)</f>
        <v>643825224.08178902</v>
      </c>
      <c r="AK54" s="66">
        <f t="shared" si="18"/>
        <v>573527011.26222908</v>
      </c>
    </row>
    <row r="55" spans="1:37" ht="16.350000000000001" customHeight="1">
      <c r="B55" s="18"/>
      <c r="C55" s="39"/>
      <c r="D55" s="39"/>
    </row>
    <row r="56" spans="1:37" s="6" customFormat="1" ht="15.75" customHeight="1" thickBot="1">
      <c r="A56" s="3" t="s">
        <v>97</v>
      </c>
      <c r="B56" s="4"/>
      <c r="C56" s="4" t="s">
        <v>20</v>
      </c>
      <c r="D56" s="4" t="s">
        <v>21</v>
      </c>
      <c r="E56" s="19">
        <v>44927</v>
      </c>
      <c r="F56" s="19">
        <v>44958</v>
      </c>
      <c r="G56" s="19">
        <v>44986</v>
      </c>
      <c r="H56" s="19">
        <v>45017</v>
      </c>
      <c r="I56" s="19">
        <v>45047</v>
      </c>
      <c r="J56" s="19">
        <v>45078</v>
      </c>
      <c r="K56" s="19">
        <v>45108</v>
      </c>
      <c r="L56" s="19">
        <v>45139</v>
      </c>
      <c r="M56" s="19">
        <v>45170</v>
      </c>
      <c r="N56" s="19">
        <v>45200</v>
      </c>
      <c r="O56" s="19">
        <v>45231</v>
      </c>
      <c r="P56" s="19">
        <v>45261</v>
      </c>
      <c r="Q56" s="19">
        <v>45292</v>
      </c>
      <c r="R56" s="19">
        <v>45323</v>
      </c>
      <c r="S56" s="19">
        <v>45352</v>
      </c>
      <c r="T56" s="19">
        <v>45383</v>
      </c>
      <c r="U56" s="19">
        <v>45413</v>
      </c>
      <c r="V56" s="19">
        <v>45444</v>
      </c>
      <c r="W56" s="19">
        <v>45474</v>
      </c>
      <c r="X56" s="19">
        <v>45505</v>
      </c>
      <c r="Y56" s="19">
        <v>45536</v>
      </c>
      <c r="Z56" s="19">
        <v>45566</v>
      </c>
      <c r="AA56" s="19">
        <v>45597</v>
      </c>
      <c r="AB56" s="19">
        <v>45627</v>
      </c>
      <c r="AC56" s="19">
        <v>45658</v>
      </c>
      <c r="AD56" s="19">
        <v>45689</v>
      </c>
      <c r="AE56" s="19">
        <v>45717</v>
      </c>
      <c r="AF56" s="19">
        <v>45748</v>
      </c>
      <c r="AG56" s="19">
        <v>45778</v>
      </c>
      <c r="AH56" s="19">
        <v>45809</v>
      </c>
      <c r="AI56" s="19">
        <v>45839</v>
      </c>
      <c r="AJ56" s="19">
        <v>45870</v>
      </c>
      <c r="AK56" s="19">
        <v>45901</v>
      </c>
    </row>
    <row r="57" spans="1:37" ht="16.350000000000001" customHeight="1">
      <c r="B57" s="44" t="s">
        <v>111</v>
      </c>
      <c r="C57" s="39" t="s">
        <v>119</v>
      </c>
      <c r="D57" s="37"/>
      <c r="E57" s="64">
        <v>127736192.02999999</v>
      </c>
      <c r="F57" s="64">
        <v>109762214.60999998</v>
      </c>
      <c r="G57" s="64">
        <v>123687548.85000001</v>
      </c>
      <c r="H57" s="64">
        <v>129488976.09</v>
      </c>
      <c r="I57" s="64">
        <v>128253428.35999997</v>
      </c>
      <c r="J57" s="64">
        <v>163109890.64000002</v>
      </c>
      <c r="K57" s="64">
        <v>148340555.79999998</v>
      </c>
      <c r="L57" s="64">
        <v>160368363.79999998</v>
      </c>
      <c r="M57" s="64">
        <v>165640359.96999997</v>
      </c>
      <c r="N57" s="64">
        <v>145877846.29999995</v>
      </c>
      <c r="O57" s="64">
        <v>155836878.94999999</v>
      </c>
      <c r="P57" s="64">
        <v>241256874.94199997</v>
      </c>
      <c r="Q57" s="64">
        <v>181027014.44999999</v>
      </c>
      <c r="R57" s="64">
        <v>222761576.72</v>
      </c>
      <c r="S57" s="64">
        <v>176058425.49000001</v>
      </c>
      <c r="T57" s="64">
        <v>163296986.41999996</v>
      </c>
      <c r="U57" s="64">
        <v>179677404.86999995</v>
      </c>
      <c r="V57" s="64">
        <v>192226471.77000001</v>
      </c>
      <c r="W57" s="64">
        <v>227098830.44999999</v>
      </c>
      <c r="X57" s="64">
        <v>223990522.67144704</v>
      </c>
      <c r="Y57" s="64">
        <v>232264423.55000001</v>
      </c>
      <c r="Z57" s="64">
        <v>214762496.74000001</v>
      </c>
      <c r="AA57" s="64">
        <v>228987565.26999998</v>
      </c>
      <c r="AB57" s="64">
        <v>227039426.01200002</v>
      </c>
      <c r="AC57" s="64">
        <v>240996202.30999991</v>
      </c>
      <c r="AD57" s="64">
        <v>211431137.38659102</v>
      </c>
      <c r="AE57" s="64">
        <v>210745122.65818202</v>
      </c>
      <c r="AF57" s="64">
        <v>238389264.56582302</v>
      </c>
      <c r="AG57" s="64">
        <v>269889644.479096</v>
      </c>
      <c r="AH57" s="64">
        <v>301981140.65234113</v>
      </c>
      <c r="AI57" s="64">
        <v>314369100.87982309</v>
      </c>
      <c r="AJ57" s="64">
        <v>327618893.21699995</v>
      </c>
      <c r="AK57" s="64">
        <v>352544292.02528602</v>
      </c>
    </row>
    <row r="58" spans="1:37" ht="16.350000000000001" customHeight="1">
      <c r="B58" s="40" t="s">
        <v>112</v>
      </c>
      <c r="C58" s="39" t="s">
        <v>119</v>
      </c>
      <c r="D58" s="39"/>
      <c r="E58" s="64">
        <v>196523.23</v>
      </c>
      <c r="F58" s="64">
        <v>10330</v>
      </c>
      <c r="G58" s="64">
        <v>670338</v>
      </c>
      <c r="H58" s="64">
        <v>276359</v>
      </c>
      <c r="I58" s="64">
        <v>195592.79999999981</v>
      </c>
      <c r="J58" s="64">
        <v>0</v>
      </c>
      <c r="K58" s="64">
        <v>52450</v>
      </c>
      <c r="L58" s="64">
        <v>1886.6900000004098</v>
      </c>
      <c r="M58" s="64">
        <v>65493.59</v>
      </c>
      <c r="N58" s="64">
        <v>0</v>
      </c>
      <c r="O58" s="64">
        <v>534126.56000000006</v>
      </c>
      <c r="P58" s="64">
        <v>456677.61</v>
      </c>
      <c r="Q58" s="64">
        <v>387244.25999999978</v>
      </c>
      <c r="R58" s="64">
        <v>234335.69999999925</v>
      </c>
      <c r="S58" s="64">
        <v>1990</v>
      </c>
      <c r="T58" s="64">
        <v>398958.27000000142</v>
      </c>
      <c r="U58" s="64">
        <v>4170.32</v>
      </c>
      <c r="V58" s="64">
        <v>57585.839999999967</v>
      </c>
      <c r="W58" s="64">
        <v>69926.040000000037</v>
      </c>
      <c r="X58" s="64">
        <v>87241.839999999967</v>
      </c>
      <c r="Y58" s="64">
        <v>71676.820000000065</v>
      </c>
      <c r="Z58" s="64">
        <v>217686.62000000011</v>
      </c>
      <c r="AA58" s="64">
        <v>624791.6708399998</v>
      </c>
      <c r="AB58" s="64">
        <v>1030388.21</v>
      </c>
      <c r="AC58" s="64">
        <v>296700.56000000006</v>
      </c>
      <c r="AD58" s="64">
        <v>378284</v>
      </c>
      <c r="AE58" s="64">
        <v>50425</v>
      </c>
      <c r="AF58" s="64">
        <v>32224</v>
      </c>
      <c r="AG58" s="64">
        <v>389377.36999999732</v>
      </c>
      <c r="AH58" s="64">
        <v>11746.020000000019</v>
      </c>
      <c r="AI58" s="64">
        <v>74578.114710000344</v>
      </c>
      <c r="AJ58" s="64">
        <v>119354.3900000006</v>
      </c>
      <c r="AK58" s="64">
        <v>83767.94000000041</v>
      </c>
    </row>
    <row r="59" spans="1:37" ht="16.350000000000001" customHeight="1">
      <c r="B59" s="40" t="s">
        <v>113</v>
      </c>
      <c r="C59" s="39" t="s">
        <v>119</v>
      </c>
      <c r="D59" s="39"/>
      <c r="E59" s="64">
        <v>994252.55999999994</v>
      </c>
      <c r="F59" s="64">
        <v>807238.05</v>
      </c>
      <c r="G59" s="64">
        <v>738133.58000000007</v>
      </c>
      <c r="H59" s="64">
        <v>605948.83000000007</v>
      </c>
      <c r="I59" s="64">
        <v>446389.24000000005</v>
      </c>
      <c r="J59" s="64">
        <v>481788.03</v>
      </c>
      <c r="K59" s="64">
        <v>1632354.45</v>
      </c>
      <c r="L59" s="64">
        <v>524485.76</v>
      </c>
      <c r="M59" s="64">
        <v>454950.69000000006</v>
      </c>
      <c r="N59" s="64">
        <v>427399.3</v>
      </c>
      <c r="O59" s="64">
        <v>831387.72</v>
      </c>
      <c r="P59" s="64">
        <v>932213.54</v>
      </c>
      <c r="Q59" s="64">
        <v>811682.39</v>
      </c>
      <c r="R59" s="64">
        <v>968547.82000000007</v>
      </c>
      <c r="S59" s="64">
        <v>861702.14</v>
      </c>
      <c r="T59" s="64">
        <v>863901.44</v>
      </c>
      <c r="U59" s="64">
        <v>477402.51</v>
      </c>
      <c r="V59" s="64">
        <v>425914.62</v>
      </c>
      <c r="W59" s="64">
        <v>352196.07999999996</v>
      </c>
      <c r="X59" s="64">
        <v>411406.81</v>
      </c>
      <c r="Y59" s="64">
        <v>562768.61</v>
      </c>
      <c r="Z59" s="64">
        <v>678422.14</v>
      </c>
      <c r="AA59" s="64">
        <v>1485753.29</v>
      </c>
      <c r="AB59" s="64">
        <v>44535282.488999993</v>
      </c>
      <c r="AC59" s="64">
        <v>1875223.48</v>
      </c>
      <c r="AD59" s="64">
        <v>729466.94000000006</v>
      </c>
      <c r="AE59" s="64">
        <v>635054.70935799996</v>
      </c>
      <c r="AF59" s="64">
        <v>357182.38510099996</v>
      </c>
      <c r="AG59" s="64">
        <v>674332.53099499992</v>
      </c>
      <c r="AH59" s="64">
        <v>1058153.2629439998</v>
      </c>
      <c r="AI59" s="64">
        <v>845553.7335320001</v>
      </c>
      <c r="AJ59" s="64">
        <v>803597.25</v>
      </c>
      <c r="AK59" s="64">
        <v>709681.21082299994</v>
      </c>
    </row>
    <row r="60" spans="1:37" ht="16.350000000000001" customHeight="1">
      <c r="B60" s="40" t="s">
        <v>114</v>
      </c>
      <c r="C60" s="39" t="s">
        <v>119</v>
      </c>
      <c r="D60" s="39"/>
      <c r="E60" s="64">
        <v>5510554.4500000002</v>
      </c>
      <c r="F60" s="64">
        <v>18167061.220000003</v>
      </c>
      <c r="G60" s="64">
        <v>48239778.519999996</v>
      </c>
      <c r="H60" s="64">
        <v>13529514.280000001</v>
      </c>
      <c r="I60" s="64">
        <v>10343102.249999998</v>
      </c>
      <c r="J60" s="64">
        <v>9033841.1999999993</v>
      </c>
      <c r="K60" s="64">
        <v>12096244.029999999</v>
      </c>
      <c r="L60" s="64">
        <v>10034081.880000001</v>
      </c>
      <c r="M60" s="64">
        <v>9667798.4000000004</v>
      </c>
      <c r="N60" s="64">
        <v>12748627.129999999</v>
      </c>
      <c r="O60" s="64">
        <v>9727579.7400000002</v>
      </c>
      <c r="P60" s="64">
        <v>31474797.810000002</v>
      </c>
      <c r="Q60" s="64">
        <v>4915820.3500000006</v>
      </c>
      <c r="R60" s="64">
        <v>15135163.380000001</v>
      </c>
      <c r="S60" s="64">
        <v>14114072.590000002</v>
      </c>
      <c r="T60" s="64">
        <v>15779903.84</v>
      </c>
      <c r="U60" s="64">
        <v>14302116.180000002</v>
      </c>
      <c r="V60" s="64">
        <v>11600322.09</v>
      </c>
      <c r="W60" s="64">
        <v>13267341.4</v>
      </c>
      <c r="X60" s="64">
        <v>13859968.24</v>
      </c>
      <c r="Y60" s="64">
        <v>10288351.610000001</v>
      </c>
      <c r="Z60" s="64">
        <v>13286313.809999999</v>
      </c>
      <c r="AA60" s="64">
        <v>17125168.25</v>
      </c>
      <c r="AB60" s="64">
        <v>51153892.469999991</v>
      </c>
      <c r="AC60" s="64">
        <v>6281780.9890000001</v>
      </c>
      <c r="AD60" s="64">
        <v>18897020.504999999</v>
      </c>
      <c r="AE60" s="64">
        <v>13566254.593150999</v>
      </c>
      <c r="AF60" s="64">
        <v>16402355.533012999</v>
      </c>
      <c r="AG60" s="64">
        <v>17754972.354098003</v>
      </c>
      <c r="AH60" s="64">
        <v>15192486.338176999</v>
      </c>
      <c r="AI60" s="64">
        <v>13925636.544891002</v>
      </c>
      <c r="AJ60" s="64">
        <v>18779887.156000003</v>
      </c>
      <c r="AK60" s="64">
        <v>6557582.2830339996</v>
      </c>
    </row>
    <row r="61" spans="1:37" ht="16.350000000000001" customHeight="1">
      <c r="B61" s="40" t="s">
        <v>85</v>
      </c>
      <c r="C61" s="39" t="s">
        <v>119</v>
      </c>
      <c r="D61" s="39"/>
      <c r="E61" s="64">
        <v>800590.96</v>
      </c>
      <c r="F61" s="64">
        <v>627978.23999999999</v>
      </c>
      <c r="G61" s="64">
        <v>332808922.27999997</v>
      </c>
      <c r="H61" s="64">
        <v>7094803.4600000009</v>
      </c>
      <c r="I61" s="64">
        <v>12033076.239999998</v>
      </c>
      <c r="J61" s="64">
        <v>16112215.73</v>
      </c>
      <c r="K61" s="64">
        <v>16804632.52</v>
      </c>
      <c r="L61" s="64">
        <v>11834564.070000002</v>
      </c>
      <c r="M61" s="64">
        <v>9843711.3100000024</v>
      </c>
      <c r="N61" s="64">
        <v>11990316.550000001</v>
      </c>
      <c r="O61" s="64">
        <v>4114992.8499999996</v>
      </c>
      <c r="P61" s="64">
        <v>3813080.33</v>
      </c>
      <c r="Q61" s="64">
        <v>1362523.2999999996</v>
      </c>
      <c r="R61" s="64">
        <v>4624881.55</v>
      </c>
      <c r="S61" s="64">
        <v>4317223.0500000007</v>
      </c>
      <c r="T61" s="64">
        <v>5394612.0600000015</v>
      </c>
      <c r="U61" s="64">
        <v>11222289.23</v>
      </c>
      <c r="V61" s="64">
        <v>16200859.559999999</v>
      </c>
      <c r="W61" s="64">
        <v>18858936.73</v>
      </c>
      <c r="X61" s="64">
        <v>21721501.670000002</v>
      </c>
      <c r="Y61" s="64">
        <v>19710490.329999998</v>
      </c>
      <c r="Z61" s="64">
        <v>8053489.5300000003</v>
      </c>
      <c r="AA61" s="64">
        <v>2594906.29</v>
      </c>
      <c r="AB61" s="64">
        <v>4142930.85</v>
      </c>
      <c r="AC61" s="64">
        <v>1156623.55</v>
      </c>
      <c r="AD61" s="64">
        <v>6595588.6600000001</v>
      </c>
      <c r="AE61" s="64">
        <v>4412200.2</v>
      </c>
      <c r="AF61" s="64">
        <v>7938512.8429400008</v>
      </c>
      <c r="AG61" s="64">
        <v>13712632.792424999</v>
      </c>
      <c r="AH61" s="64">
        <v>15773733.314637</v>
      </c>
      <c r="AI61" s="64">
        <v>16692126.293675</v>
      </c>
      <c r="AJ61" s="64">
        <v>18304521.640000001</v>
      </c>
      <c r="AK61" s="64">
        <v>14639446.696036998</v>
      </c>
    </row>
    <row r="62" spans="1:37" ht="16.350000000000001" customHeight="1">
      <c r="B62" s="40" t="s">
        <v>115</v>
      </c>
      <c r="C62" s="39" t="s">
        <v>119</v>
      </c>
      <c r="D62" s="39"/>
      <c r="E62" s="64">
        <v>1588907.5299999998</v>
      </c>
      <c r="F62" s="64">
        <v>1725858.2</v>
      </c>
      <c r="G62" s="64">
        <v>3531396.5999999996</v>
      </c>
      <c r="H62" s="64">
        <v>5292680.6899999995</v>
      </c>
      <c r="I62" s="64">
        <v>2543701.9</v>
      </c>
      <c r="J62" s="64">
        <v>2420202.5699999998</v>
      </c>
      <c r="K62" s="64">
        <v>2474883.0799999996</v>
      </c>
      <c r="L62" s="64">
        <v>2416676.4</v>
      </c>
      <c r="M62" s="64">
        <v>2261196.21</v>
      </c>
      <c r="N62" s="64">
        <v>3671787.1700000004</v>
      </c>
      <c r="O62" s="64">
        <v>2958809.4599999995</v>
      </c>
      <c r="P62" s="64">
        <v>2733086.43</v>
      </c>
      <c r="Q62" s="64">
        <v>2689780.45</v>
      </c>
      <c r="R62" s="64">
        <v>1821781.5899999999</v>
      </c>
      <c r="S62" s="64">
        <v>2981523.86</v>
      </c>
      <c r="T62" s="64">
        <v>3912036.0700000003</v>
      </c>
      <c r="U62" s="64">
        <v>3976027.3899999997</v>
      </c>
      <c r="V62" s="64">
        <v>3934411.2300000004</v>
      </c>
      <c r="W62" s="64">
        <v>5017192.82</v>
      </c>
      <c r="X62" s="64">
        <v>10108306.299999999</v>
      </c>
      <c r="Y62" s="64">
        <v>7733291.21</v>
      </c>
      <c r="Z62" s="64">
        <v>4306660.7799999993</v>
      </c>
      <c r="AA62" s="64">
        <v>3705870.2600000002</v>
      </c>
      <c r="AB62" s="64">
        <v>5966638.5659999996</v>
      </c>
      <c r="AC62" s="64">
        <v>4871214.6020000009</v>
      </c>
      <c r="AD62" s="64">
        <v>3966556.3807140002</v>
      </c>
      <c r="AE62" s="64">
        <v>2707391.3823560001</v>
      </c>
      <c r="AF62" s="64">
        <v>3936246.8797379998</v>
      </c>
      <c r="AG62" s="64">
        <v>3775848.1550040008</v>
      </c>
      <c r="AH62" s="64">
        <v>3473573.4330509999</v>
      </c>
      <c r="AI62" s="64">
        <v>4494546.3862140002</v>
      </c>
      <c r="AJ62" s="64">
        <v>5464185.5599999996</v>
      </c>
      <c r="AK62" s="64">
        <v>5289578.6052629994</v>
      </c>
    </row>
    <row r="63" spans="1:37" ht="16.350000000000001" customHeight="1">
      <c r="B63" s="40" t="s">
        <v>116</v>
      </c>
      <c r="C63" s="39" t="s">
        <v>119</v>
      </c>
      <c r="D63" s="39"/>
      <c r="E63" s="64">
        <v>239810.24</v>
      </c>
      <c r="F63" s="64">
        <v>673065.37</v>
      </c>
      <c r="G63" s="64">
        <v>138505738.64999998</v>
      </c>
      <c r="H63" s="64">
        <v>133626.63999999998</v>
      </c>
      <c r="I63" s="64">
        <v>952507.60000000009</v>
      </c>
      <c r="J63" s="64">
        <v>611161.74</v>
      </c>
      <c r="K63" s="64">
        <v>152975.95000000001</v>
      </c>
      <c r="L63" s="64">
        <v>143550.28999999998</v>
      </c>
      <c r="M63" s="64">
        <v>234672.72999999998</v>
      </c>
      <c r="N63" s="64">
        <v>214630.49</v>
      </c>
      <c r="O63" s="64">
        <v>201109.72</v>
      </c>
      <c r="P63" s="64">
        <v>227711.14</v>
      </c>
      <c r="Q63" s="64">
        <v>249682.77</v>
      </c>
      <c r="R63" s="64">
        <v>123366.22999999998</v>
      </c>
      <c r="S63" s="64">
        <v>213295.46999999997</v>
      </c>
      <c r="T63" s="64">
        <v>413589.16000000003</v>
      </c>
      <c r="U63" s="64">
        <v>1154191.1599999999</v>
      </c>
      <c r="V63" s="64">
        <v>2240044.42</v>
      </c>
      <c r="W63" s="64">
        <v>1056405.9000000001</v>
      </c>
      <c r="X63" s="64">
        <v>1233382.9000000001</v>
      </c>
      <c r="Y63" s="64">
        <v>1129309.3200000003</v>
      </c>
      <c r="Z63" s="64">
        <v>1215258.45</v>
      </c>
      <c r="AA63" s="64">
        <v>580532.5399999998</v>
      </c>
      <c r="AB63" s="64">
        <v>1684101.21</v>
      </c>
      <c r="AC63" s="64">
        <v>458579.85</v>
      </c>
      <c r="AD63" s="64">
        <v>1187954.2</v>
      </c>
      <c r="AE63" s="64">
        <v>776516.24</v>
      </c>
      <c r="AF63" s="64">
        <v>892611.62</v>
      </c>
      <c r="AG63" s="64">
        <v>861617.24000000011</v>
      </c>
      <c r="AH63" s="64">
        <v>620436.41</v>
      </c>
      <c r="AI63" s="64">
        <v>623096.21</v>
      </c>
      <c r="AJ63" s="64">
        <v>764843.35</v>
      </c>
      <c r="AK63" s="64">
        <v>437825.44707199995</v>
      </c>
    </row>
    <row r="64" spans="1:37" ht="16.350000000000001" customHeight="1">
      <c r="B64" s="40" t="s">
        <v>117</v>
      </c>
      <c r="C64" s="39" t="s">
        <v>119</v>
      </c>
      <c r="D64" s="39"/>
      <c r="E64" s="64">
        <v>0</v>
      </c>
      <c r="F64" s="64">
        <v>0</v>
      </c>
      <c r="G64" s="64">
        <v>0</v>
      </c>
      <c r="H64" s="64">
        <v>0</v>
      </c>
      <c r="I64" s="64">
        <v>0</v>
      </c>
      <c r="J64" s="64">
        <v>0</v>
      </c>
      <c r="K64" s="64">
        <v>0</v>
      </c>
      <c r="L64" s="64">
        <v>3000000</v>
      </c>
      <c r="M64" s="64">
        <v>44000000</v>
      </c>
      <c r="N64" s="64">
        <v>2500000</v>
      </c>
      <c r="O64" s="64">
        <v>0</v>
      </c>
      <c r="P64" s="64">
        <v>15500000</v>
      </c>
      <c r="Q64" s="64">
        <v>22000000</v>
      </c>
      <c r="R64" s="64">
        <v>0</v>
      </c>
      <c r="S64" s="64">
        <v>0</v>
      </c>
      <c r="T64" s="64">
        <v>3000000</v>
      </c>
      <c r="U64" s="64">
        <v>4000000</v>
      </c>
      <c r="V64" s="64">
        <v>6000000</v>
      </c>
      <c r="W64" s="64">
        <v>90000000</v>
      </c>
      <c r="X64" s="64">
        <v>4000000</v>
      </c>
      <c r="Y64" s="64">
        <v>5000000</v>
      </c>
      <c r="Z64" s="64">
        <v>5000000</v>
      </c>
      <c r="AA64" s="64">
        <v>4500000</v>
      </c>
      <c r="AB64" s="64">
        <v>5000000</v>
      </c>
      <c r="AC64" s="64">
        <v>8243000</v>
      </c>
      <c r="AD64" s="64">
        <v>35000000</v>
      </c>
      <c r="AE64" s="64">
        <v>14070000</v>
      </c>
      <c r="AF64" s="64">
        <v>0</v>
      </c>
      <c r="AG64" s="64">
        <v>8000000</v>
      </c>
      <c r="AH64" s="64">
        <v>19000000</v>
      </c>
      <c r="AI64" s="64">
        <v>12693655</v>
      </c>
      <c r="AJ64" s="64">
        <v>0</v>
      </c>
      <c r="AK64" s="64">
        <v>0</v>
      </c>
    </row>
    <row r="65" spans="1:37" ht="16.350000000000001" customHeight="1">
      <c r="B65" s="40" t="s">
        <v>118</v>
      </c>
      <c r="C65" s="39" t="s">
        <v>119</v>
      </c>
      <c r="D65" s="39"/>
      <c r="E65" s="64">
        <v>0</v>
      </c>
      <c r="F65" s="64">
        <v>0</v>
      </c>
      <c r="G65" s="64">
        <v>0</v>
      </c>
      <c r="H65" s="64">
        <v>0</v>
      </c>
      <c r="I65" s="64">
        <v>500000</v>
      </c>
      <c r="J65" s="64">
        <v>0</v>
      </c>
      <c r="K65" s="64">
        <v>400000</v>
      </c>
      <c r="L65" s="64">
        <v>0</v>
      </c>
      <c r="M65" s="64">
        <v>0</v>
      </c>
      <c r="N65" s="64">
        <v>0</v>
      </c>
      <c r="O65" s="64">
        <v>200000</v>
      </c>
      <c r="P65" s="64">
        <v>492085.37</v>
      </c>
      <c r="Q65" s="64">
        <v>0</v>
      </c>
      <c r="R65" s="64">
        <v>588462.44999999995</v>
      </c>
      <c r="S65" s="64">
        <v>0</v>
      </c>
      <c r="T65" s="64">
        <v>0</v>
      </c>
      <c r="U65" s="64">
        <v>199459.6</v>
      </c>
      <c r="V65" s="64">
        <v>0</v>
      </c>
      <c r="W65" s="64">
        <v>230000</v>
      </c>
      <c r="X65" s="64">
        <v>0</v>
      </c>
      <c r="Y65" s="64">
        <v>0</v>
      </c>
      <c r="Z65" s="64">
        <v>0</v>
      </c>
      <c r="AA65" s="64">
        <v>0</v>
      </c>
      <c r="AB65" s="64">
        <v>69223.899999999994</v>
      </c>
      <c r="AC65" s="64">
        <v>0</v>
      </c>
      <c r="AD65" s="64">
        <v>300000</v>
      </c>
      <c r="AE65" s="64">
        <v>300000</v>
      </c>
      <c r="AF65" s="64">
        <v>300000</v>
      </c>
      <c r="AG65" s="64">
        <v>300000</v>
      </c>
      <c r="AH65" s="64">
        <v>300000</v>
      </c>
      <c r="AI65" s="64">
        <v>100000</v>
      </c>
      <c r="AJ65" s="64">
        <v>200000</v>
      </c>
      <c r="AK65" s="64">
        <v>0</v>
      </c>
    </row>
    <row r="66" spans="1:37" ht="16.350000000000001" customHeight="1">
      <c r="B66" s="40" t="s">
        <v>101</v>
      </c>
      <c r="C66" s="39" t="s">
        <v>119</v>
      </c>
      <c r="D66" s="39"/>
      <c r="E66" s="64">
        <v>0</v>
      </c>
      <c r="F66" s="64">
        <v>0</v>
      </c>
      <c r="G66" s="64">
        <v>0</v>
      </c>
      <c r="H66" s="64">
        <v>0</v>
      </c>
      <c r="I66" s="64">
        <v>7963557.6399999997</v>
      </c>
      <c r="J66" s="64">
        <v>1352735.48</v>
      </c>
      <c r="K66" s="64">
        <v>7638358.0499999998</v>
      </c>
      <c r="L66" s="64">
        <v>5397989.0099999998</v>
      </c>
      <c r="M66" s="64">
        <v>0</v>
      </c>
      <c r="N66" s="64">
        <v>0</v>
      </c>
      <c r="O66" s="64">
        <v>0</v>
      </c>
      <c r="P66" s="64">
        <v>0</v>
      </c>
      <c r="Q66" s="64">
        <v>4500000</v>
      </c>
      <c r="R66" s="64">
        <v>11000000</v>
      </c>
      <c r="S66" s="64">
        <v>1600000</v>
      </c>
      <c r="T66" s="64">
        <v>13500000</v>
      </c>
      <c r="U66" s="64">
        <v>0</v>
      </c>
      <c r="V66" s="64">
        <v>400000</v>
      </c>
      <c r="W66" s="64">
        <v>2500000</v>
      </c>
      <c r="X66" s="64">
        <v>500000</v>
      </c>
      <c r="Y66" s="64">
        <v>1500000</v>
      </c>
      <c r="Z66" s="64">
        <v>2500000</v>
      </c>
      <c r="AA66" s="64">
        <v>2700000</v>
      </c>
      <c r="AB66" s="64">
        <v>6000000</v>
      </c>
      <c r="AC66" s="64">
        <v>550750</v>
      </c>
      <c r="AD66" s="64">
        <v>2601550</v>
      </c>
      <c r="AE66" s="64">
        <v>5000000</v>
      </c>
      <c r="AF66" s="64">
        <v>2000000</v>
      </c>
      <c r="AG66" s="64">
        <v>34287066</v>
      </c>
      <c r="AH66" s="64">
        <v>3349175</v>
      </c>
      <c r="AI66" s="64">
        <v>3000000</v>
      </c>
      <c r="AJ66" s="64">
        <v>5821581</v>
      </c>
      <c r="AK66" s="64">
        <v>6500000</v>
      </c>
    </row>
    <row r="67" spans="1:37" ht="16.350000000000001" customHeight="1">
      <c r="B67" s="40" t="s">
        <v>86</v>
      </c>
      <c r="C67" s="39" t="s">
        <v>119</v>
      </c>
      <c r="D67" s="39"/>
      <c r="E67" s="64">
        <v>190695273.13999999</v>
      </c>
      <c r="F67" s="64">
        <v>181673926.27000004</v>
      </c>
      <c r="G67" s="64">
        <v>143257601</v>
      </c>
      <c r="H67" s="64">
        <v>114810490.56999999</v>
      </c>
      <c r="I67" s="64">
        <v>104671607.98999999</v>
      </c>
      <c r="J67" s="64">
        <v>90234095.12999998</v>
      </c>
      <c r="K67" s="64">
        <v>100300387.99000001</v>
      </c>
      <c r="L67" s="64">
        <v>80380624.039999992</v>
      </c>
      <c r="M67" s="64">
        <v>95086716.12000002</v>
      </c>
      <c r="N67" s="64">
        <v>92373312.659999996</v>
      </c>
      <c r="O67" s="64">
        <v>105296267.59999999</v>
      </c>
      <c r="P67" s="64">
        <v>150376421.60999998</v>
      </c>
      <c r="Q67" s="64">
        <v>175461345.94</v>
      </c>
      <c r="R67" s="64">
        <v>192841805.66000003</v>
      </c>
      <c r="S67" s="64">
        <v>172458494.39200002</v>
      </c>
      <c r="T67" s="64">
        <v>149042363.27000001</v>
      </c>
      <c r="U67" s="64">
        <v>130196250.08700001</v>
      </c>
      <c r="V67" s="64">
        <v>116793778.55042499</v>
      </c>
      <c r="W67" s="64">
        <v>127951544.676</v>
      </c>
      <c r="X67" s="64">
        <v>138579197.57999998</v>
      </c>
      <c r="Y67" s="64">
        <v>132633848.47</v>
      </c>
      <c r="Z67" s="64">
        <v>120044914.95999999</v>
      </c>
      <c r="AA67" s="64">
        <v>134654316.21999997</v>
      </c>
      <c r="AB67" s="64">
        <v>191608670.96600002</v>
      </c>
      <c r="AC67" s="64">
        <v>243915099.46000001</v>
      </c>
      <c r="AD67" s="64">
        <v>232595887.18111601</v>
      </c>
      <c r="AE67" s="64">
        <v>204906674.88189498</v>
      </c>
      <c r="AF67" s="64">
        <v>203640636.19400802</v>
      </c>
      <c r="AG67" s="64">
        <v>175241169.158351</v>
      </c>
      <c r="AH67" s="64">
        <v>163515606.88524398</v>
      </c>
      <c r="AI67" s="64">
        <v>184800790.55707294</v>
      </c>
      <c r="AJ67" s="64">
        <v>204862020.53999999</v>
      </c>
      <c r="AK67" s="64">
        <v>191077738.04272097</v>
      </c>
    </row>
    <row r="68" spans="1:37" ht="16.350000000000001" customHeight="1">
      <c r="B68" s="40" t="s">
        <v>2</v>
      </c>
      <c r="C68" s="39" t="s">
        <v>119</v>
      </c>
      <c r="D68" s="39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5"/>
    </row>
    <row r="69" spans="1:37" ht="16.350000000000001" customHeight="1">
      <c r="B69" s="41" t="s">
        <v>108</v>
      </c>
      <c r="C69" s="39" t="s">
        <v>119</v>
      </c>
      <c r="D69" s="39"/>
      <c r="E69" s="66">
        <f>SUBTOTAL(9,E57:E67)</f>
        <v>327762104.13999999</v>
      </c>
      <c r="F69" s="66">
        <f t="shared" ref="F69:I69" si="19">SUBTOTAL(9,F57:F67)</f>
        <v>313447671.96000004</v>
      </c>
      <c r="G69" s="66">
        <f t="shared" si="19"/>
        <v>791439457.48000002</v>
      </c>
      <c r="H69" s="66">
        <f t="shared" si="19"/>
        <v>271232399.55999994</v>
      </c>
      <c r="I69" s="66">
        <f t="shared" si="19"/>
        <v>267902964.01999992</v>
      </c>
      <c r="J69" s="66">
        <f>SUBTOTAL(9,J57:J67)</f>
        <v>283355930.51999998</v>
      </c>
      <c r="K69" s="66">
        <f t="shared" ref="K69:AK69" si="20">SUBTOTAL(9,K57:K67)</f>
        <v>289892841.87</v>
      </c>
      <c r="L69" s="66">
        <f t="shared" si="20"/>
        <v>274102221.93999994</v>
      </c>
      <c r="M69" s="66">
        <f t="shared" si="20"/>
        <v>327254899.01999998</v>
      </c>
      <c r="N69" s="66">
        <f t="shared" si="20"/>
        <v>269803919.59999996</v>
      </c>
      <c r="O69" s="66">
        <f t="shared" si="20"/>
        <v>279701152.60000002</v>
      </c>
      <c r="P69" s="66">
        <f t="shared" si="20"/>
        <v>447262948.78199995</v>
      </c>
      <c r="Q69" s="66">
        <f t="shared" si="20"/>
        <v>393405093.90999997</v>
      </c>
      <c r="R69" s="66">
        <f t="shared" si="20"/>
        <v>450099921.10000002</v>
      </c>
      <c r="S69" s="66">
        <f t="shared" si="20"/>
        <v>372606726.99200004</v>
      </c>
      <c r="T69" s="66">
        <f t="shared" si="20"/>
        <v>355602350.52999997</v>
      </c>
      <c r="U69" s="66">
        <f t="shared" si="20"/>
        <v>345209311.34699988</v>
      </c>
      <c r="V69" s="66">
        <f t="shared" si="20"/>
        <v>349879388.08042502</v>
      </c>
      <c r="W69" s="66">
        <f t="shared" si="20"/>
        <v>486402374.09599996</v>
      </c>
      <c r="X69" s="66">
        <f t="shared" si="20"/>
        <v>414491528.01144701</v>
      </c>
      <c r="Y69" s="66">
        <f t="shared" si="20"/>
        <v>410894159.91999996</v>
      </c>
      <c r="Z69" s="66">
        <f t="shared" si="20"/>
        <v>370065243.02999997</v>
      </c>
      <c r="AA69" s="66">
        <f t="shared" si="20"/>
        <v>396958903.79083991</v>
      </c>
      <c r="AB69" s="66">
        <f t="shared" si="20"/>
        <v>538230554.67299998</v>
      </c>
      <c r="AC69" s="66">
        <f t="shared" si="20"/>
        <v>508645174.80099988</v>
      </c>
      <c r="AD69" s="66">
        <f t="shared" si="20"/>
        <v>513683445.25342095</v>
      </c>
      <c r="AE69" s="66">
        <f t="shared" si="20"/>
        <v>457169639.66494203</v>
      </c>
      <c r="AF69" s="66">
        <f t="shared" si="20"/>
        <v>473889034.02062297</v>
      </c>
      <c r="AG69" s="66">
        <f t="shared" si="20"/>
        <v>524886660.07996905</v>
      </c>
      <c r="AH69" s="66">
        <f t="shared" si="20"/>
        <v>524276051.31639409</v>
      </c>
      <c r="AI69" s="66">
        <f>SUBTOTAL(9,AI57:AI67)</f>
        <v>551619083.71991801</v>
      </c>
      <c r="AJ69" s="66">
        <f t="shared" si="20"/>
        <v>582738884.10299993</v>
      </c>
      <c r="AK69" s="66">
        <f t="shared" si="20"/>
        <v>577839912.25023603</v>
      </c>
    </row>
    <row r="70" spans="1:37" ht="16.350000000000001" customHeight="1">
      <c r="B70" s="18"/>
      <c r="C70" s="39"/>
      <c r="D70" s="39"/>
    </row>
    <row r="71" spans="1:37" s="6" customFormat="1" ht="15.75" customHeight="1" thickBot="1">
      <c r="A71" s="3" t="s">
        <v>5</v>
      </c>
      <c r="B71" s="4"/>
      <c r="C71" s="4" t="s">
        <v>20</v>
      </c>
      <c r="D71" s="4" t="s">
        <v>21</v>
      </c>
      <c r="E71" s="19">
        <v>44927</v>
      </c>
      <c r="F71" s="19">
        <v>44958</v>
      </c>
      <c r="G71" s="19">
        <v>44986</v>
      </c>
      <c r="H71" s="19">
        <v>45017</v>
      </c>
      <c r="I71" s="19">
        <v>45047</v>
      </c>
      <c r="J71" s="19">
        <v>45078</v>
      </c>
      <c r="K71" s="19">
        <v>45108</v>
      </c>
      <c r="L71" s="19">
        <v>45139</v>
      </c>
      <c r="M71" s="19">
        <v>45170</v>
      </c>
      <c r="N71" s="19">
        <v>45200</v>
      </c>
      <c r="O71" s="19">
        <v>45231</v>
      </c>
      <c r="P71" s="19">
        <v>45261</v>
      </c>
      <c r="Q71" s="19">
        <v>45292</v>
      </c>
      <c r="R71" s="19">
        <v>45323</v>
      </c>
      <c r="S71" s="19">
        <v>45352</v>
      </c>
      <c r="T71" s="19">
        <v>45383</v>
      </c>
      <c r="U71" s="19">
        <v>45413</v>
      </c>
      <c r="V71" s="19">
        <v>45444</v>
      </c>
      <c r="W71" s="19">
        <v>45474</v>
      </c>
      <c r="X71" s="19">
        <v>45505</v>
      </c>
      <c r="Y71" s="19">
        <v>45536</v>
      </c>
      <c r="Z71" s="19">
        <v>45566</v>
      </c>
      <c r="AA71" s="19">
        <v>45597</v>
      </c>
      <c r="AB71" s="19">
        <v>45627</v>
      </c>
      <c r="AC71" s="19">
        <v>45658</v>
      </c>
      <c r="AD71" s="19">
        <v>45689</v>
      </c>
      <c r="AE71" s="19">
        <v>45717</v>
      </c>
      <c r="AF71" s="19">
        <v>45748</v>
      </c>
      <c r="AG71" s="19">
        <v>45778</v>
      </c>
      <c r="AH71" s="19">
        <v>45809</v>
      </c>
      <c r="AI71" s="19">
        <v>45839</v>
      </c>
      <c r="AJ71" s="19">
        <v>45870</v>
      </c>
      <c r="AK71" s="19">
        <v>45901</v>
      </c>
    </row>
    <row r="72" spans="1:37" ht="16.350000000000001" customHeight="1">
      <c r="B72" s="44" t="s">
        <v>111</v>
      </c>
      <c r="C72" s="18" t="s">
        <v>66</v>
      </c>
      <c r="D72" s="37"/>
      <c r="E72" s="38">
        <f>E57/E42</f>
        <v>0.84099167971576405</v>
      </c>
      <c r="F72" s="38">
        <f t="shared" ref="F72:AB82" si="21">F57/F42</f>
        <v>0.78465885475159214</v>
      </c>
      <c r="G72" s="38">
        <f t="shared" si="21"/>
        <v>0.8261130125217061</v>
      </c>
      <c r="H72" s="38">
        <f t="shared" si="21"/>
        <v>0.9436661842189612</v>
      </c>
      <c r="I72" s="38">
        <f t="shared" si="21"/>
        <v>0.86947743802243416</v>
      </c>
      <c r="J72" s="38">
        <f t="shared" si="21"/>
        <v>1.0819934394536548</v>
      </c>
      <c r="K72" s="38">
        <f t="shared" si="21"/>
        <v>0.89267726118999258</v>
      </c>
      <c r="L72" s="38">
        <f t="shared" si="21"/>
        <v>0.9396037325303257</v>
      </c>
      <c r="M72" s="38">
        <f t="shared" si="21"/>
        <v>1.0543511344767802</v>
      </c>
      <c r="N72" s="38">
        <f t="shared" si="21"/>
        <v>0.90996757196560629</v>
      </c>
      <c r="O72" s="38">
        <f t="shared" si="21"/>
        <v>0.91623195212527697</v>
      </c>
      <c r="P72" s="38">
        <f t="shared" si="21"/>
        <v>1.2429050621276521</v>
      </c>
      <c r="Q72" s="38">
        <f t="shared" si="21"/>
        <v>0.83052649383226473</v>
      </c>
      <c r="R72" s="38">
        <f t="shared" si="21"/>
        <v>1.1233787230587085</v>
      </c>
      <c r="S72" s="38">
        <f t="shared" si="21"/>
        <v>1.0007249670564791</v>
      </c>
      <c r="T72" s="38">
        <f t="shared" si="21"/>
        <v>0.92904259206472184</v>
      </c>
      <c r="U72" s="38">
        <f t="shared" si="21"/>
        <v>0.92651006751743381</v>
      </c>
      <c r="V72" s="38">
        <f t="shared" si="21"/>
        <v>0.95358480925378197</v>
      </c>
      <c r="W72" s="38">
        <f t="shared" si="21"/>
        <v>1.0170657040877062</v>
      </c>
      <c r="X72" s="38">
        <f t="shared" si="21"/>
        <v>0.94847553661684725</v>
      </c>
      <c r="Y72" s="38">
        <f t="shared" si="21"/>
        <v>1.0750614397673024</v>
      </c>
      <c r="Z72" s="38">
        <f t="shared" si="21"/>
        <v>0.95885385243668808</v>
      </c>
      <c r="AA72" s="38">
        <f t="shared" si="21"/>
        <v>0.96404320459532722</v>
      </c>
      <c r="AB72" s="38">
        <f t="shared" si="21"/>
        <v>0.81637353348653374</v>
      </c>
      <c r="AC72" s="38">
        <f t="shared" ref="AC72:AK82" si="22">AC57/AC42</f>
        <v>0.96302975666002288</v>
      </c>
      <c r="AD72" s="38">
        <f t="shared" si="22"/>
        <v>0.87329747204030117</v>
      </c>
      <c r="AE72" s="38">
        <f t="shared" si="22"/>
        <v>0.9169585020904949</v>
      </c>
      <c r="AF72" s="38">
        <f t="shared" si="22"/>
        <v>0.92925409604695053</v>
      </c>
      <c r="AG72" s="38">
        <f t="shared" si="22"/>
        <v>0.8829729829271602</v>
      </c>
      <c r="AH72" s="38">
        <f t="shared" si="22"/>
        <v>0.96359129353332074</v>
      </c>
      <c r="AI72" s="38">
        <f t="shared" si="22"/>
        <v>0.89913390475258426</v>
      </c>
      <c r="AJ72" s="38">
        <f t="shared" si="22"/>
        <v>0.94724092024766993</v>
      </c>
      <c r="AK72" s="38">
        <f t="shared" si="22"/>
        <v>1.071879413273005</v>
      </c>
    </row>
    <row r="73" spans="1:37" ht="16.350000000000001" customHeight="1">
      <c r="B73" s="40" t="s">
        <v>112</v>
      </c>
      <c r="C73" s="18" t="s">
        <v>66</v>
      </c>
      <c r="D73" s="39"/>
      <c r="E73" s="38">
        <f t="shared" ref="E73:T84" si="23">E58/E43</f>
        <v>0.27702456442669998</v>
      </c>
      <c r="F73" s="38">
        <f t="shared" si="23"/>
        <v>6.0153555664446627E-2</v>
      </c>
      <c r="G73" s="38">
        <f t="shared" si="23"/>
        <v>0.37849492090783998</v>
      </c>
      <c r="H73" s="38">
        <f t="shared" si="23"/>
        <v>0.3719022194903599</v>
      </c>
      <c r="I73" s="38">
        <f t="shared" si="23"/>
        <v>1.3438702133064402</v>
      </c>
      <c r="J73" s="38">
        <f t="shared" si="23"/>
        <v>0</v>
      </c>
      <c r="K73" s="38">
        <f t="shared" si="23"/>
        <v>0.69777322404807696</v>
      </c>
      <c r="L73" s="38">
        <f t="shared" si="23"/>
        <v>3.5476805376008461E-2</v>
      </c>
      <c r="M73" s="38">
        <f t="shared" si="23"/>
        <v>0.9137520715077645</v>
      </c>
      <c r="N73" s="38">
        <f t="shared" si="23"/>
        <v>0</v>
      </c>
      <c r="O73" s="38">
        <f t="shared" si="23"/>
        <v>0.89423613310257799</v>
      </c>
      <c r="P73" s="38">
        <f t="shared" si="23"/>
        <v>0.75649027801787672</v>
      </c>
      <c r="Q73" s="38">
        <f t="shared" si="23"/>
        <v>0.6838088765256054</v>
      </c>
      <c r="R73" s="38">
        <f t="shared" si="23"/>
        <v>0.44281798223360491</v>
      </c>
      <c r="S73" s="38">
        <f t="shared" si="23"/>
        <v>3.4723692792908056E-3</v>
      </c>
      <c r="T73" s="38">
        <f t="shared" si="23"/>
        <v>0.81254603814451221</v>
      </c>
      <c r="U73" s="38">
        <f t="shared" si="21"/>
        <v>9.1628304927113685E-2</v>
      </c>
      <c r="V73" s="38">
        <f t="shared" si="21"/>
        <v>0.66037803898048386</v>
      </c>
      <c r="W73" s="38">
        <f t="shared" si="21"/>
        <v>0.55575806987461507</v>
      </c>
      <c r="X73" s="38">
        <f t="shared" si="21"/>
        <v>0.80988032413950906</v>
      </c>
      <c r="Y73" s="38">
        <f t="shared" si="21"/>
        <v>0.7125001530829953</v>
      </c>
      <c r="Z73" s="38">
        <f t="shared" si="21"/>
        <v>0.39056968042541379</v>
      </c>
      <c r="AA73" s="38">
        <f t="shared" si="21"/>
        <v>0.5587060868562026</v>
      </c>
      <c r="AB73" s="38">
        <f t="shared" si="21"/>
        <v>1.593917767783062</v>
      </c>
      <c r="AC73" s="38">
        <f t="shared" ref="AC73:AE73" si="24">AC58/AC43</f>
        <v>0.44117550976351094</v>
      </c>
      <c r="AD73" s="38">
        <f t="shared" si="24"/>
        <v>0.62150747683102703</v>
      </c>
      <c r="AE73" s="38">
        <f t="shared" si="24"/>
        <v>3.9520499039278831E-2</v>
      </c>
      <c r="AF73" s="38">
        <f t="shared" si="22"/>
        <v>0.13048235850822931</v>
      </c>
      <c r="AG73" s="38">
        <f t="shared" si="22"/>
        <v>3.2272418070443929</v>
      </c>
      <c r="AH73" s="38">
        <f t="shared" si="22"/>
        <v>0.1139712505341731</v>
      </c>
      <c r="AI73" s="38">
        <f t="shared" si="22"/>
        <v>0.47868852999539879</v>
      </c>
      <c r="AJ73" s="38">
        <f t="shared" si="22"/>
        <v>0.76707109031787457</v>
      </c>
      <c r="AK73" s="38">
        <f t="shared" si="22"/>
        <v>0.27696818387543454</v>
      </c>
    </row>
    <row r="74" spans="1:37" ht="16.350000000000001" customHeight="1">
      <c r="B74" s="40" t="s">
        <v>113</v>
      </c>
      <c r="C74" s="18" t="s">
        <v>66</v>
      </c>
      <c r="D74" s="39"/>
      <c r="E74" s="38">
        <f t="shared" si="23"/>
        <v>0.69940653712078349</v>
      </c>
      <c r="F74" s="38">
        <f t="shared" si="21"/>
        <v>0.65553892633435629</v>
      </c>
      <c r="G74" s="38">
        <f t="shared" si="21"/>
        <v>0.85998796774653374</v>
      </c>
      <c r="H74" s="38">
        <f t="shared" si="21"/>
        <v>0.97295420884186568</v>
      </c>
      <c r="I74" s="38">
        <f t="shared" si="21"/>
        <v>0.79930358857988071</v>
      </c>
      <c r="J74" s="38">
        <f t="shared" si="21"/>
        <v>0.73838333392167033</v>
      </c>
      <c r="K74" s="38">
        <f t="shared" si="21"/>
        <v>1.1228677513604932</v>
      </c>
      <c r="L74" s="38">
        <f t="shared" si="21"/>
        <v>1.1026468413581267</v>
      </c>
      <c r="M74" s="38">
        <f t="shared" si="21"/>
        <v>0.85958887153292618</v>
      </c>
      <c r="N74" s="38">
        <f t="shared" si="21"/>
        <v>0.80723405815800475</v>
      </c>
      <c r="O74" s="38">
        <f t="shared" si="21"/>
        <v>0.76370286471969817</v>
      </c>
      <c r="P74" s="38">
        <f t="shared" si="21"/>
        <v>0.83656383637926757</v>
      </c>
      <c r="Q74" s="38">
        <f t="shared" si="21"/>
        <v>0.74468382577287551</v>
      </c>
      <c r="R74" s="38">
        <f t="shared" si="21"/>
        <v>0.71924188589819338</v>
      </c>
      <c r="S74" s="38">
        <f t="shared" si="21"/>
        <v>1.0539857025429227</v>
      </c>
      <c r="T74" s="38">
        <f t="shared" si="21"/>
        <v>1.2614053487604799</v>
      </c>
      <c r="U74" s="38">
        <f t="shared" si="21"/>
        <v>0.78270320206541144</v>
      </c>
      <c r="V74" s="38">
        <f t="shared" si="21"/>
        <v>0.72299959247823709</v>
      </c>
      <c r="W74" s="38">
        <f t="shared" si="21"/>
        <v>0.5041359481645129</v>
      </c>
      <c r="X74" s="38">
        <f t="shared" si="21"/>
        <v>0.59839885171084173</v>
      </c>
      <c r="Y74" s="38">
        <f t="shared" si="21"/>
        <v>0.83558261390620225</v>
      </c>
      <c r="Z74" s="38">
        <f t="shared" si="21"/>
        <v>0.79432650793094361</v>
      </c>
      <c r="AA74" s="38">
        <f t="shared" si="21"/>
        <v>1.3428652080126922</v>
      </c>
      <c r="AB74" s="38">
        <f t="shared" si="21"/>
        <v>28.226416920341478</v>
      </c>
      <c r="AC74" s="38">
        <f t="shared" ref="AC74:AE74" si="25">AC59/AC44</f>
        <v>1.2248779154039966</v>
      </c>
      <c r="AD74" s="38">
        <f t="shared" si="25"/>
        <v>0.4920240517026121</v>
      </c>
      <c r="AE74" s="38">
        <f t="shared" si="25"/>
        <v>0.66861863557476242</v>
      </c>
      <c r="AF74" s="38">
        <f t="shared" si="22"/>
        <v>0.43926721996266499</v>
      </c>
      <c r="AG74" s="38">
        <f t="shared" si="22"/>
        <v>0.71492305858410776</v>
      </c>
      <c r="AH74" s="38">
        <f t="shared" si="22"/>
        <v>1.3788309615061571</v>
      </c>
      <c r="AI74" s="38">
        <f t="shared" si="22"/>
        <v>0.61728798760327741</v>
      </c>
      <c r="AJ74" s="38">
        <f t="shared" si="22"/>
        <v>0.80839356115485439</v>
      </c>
      <c r="AK74" s="38">
        <f t="shared" si="22"/>
        <v>0.77630080474723484</v>
      </c>
    </row>
    <row r="75" spans="1:37" ht="16.350000000000001" customHeight="1">
      <c r="B75" s="40" t="s">
        <v>114</v>
      </c>
      <c r="C75" s="18" t="s">
        <v>66</v>
      </c>
      <c r="D75" s="39"/>
      <c r="E75" s="38">
        <f t="shared" si="23"/>
        <v>0.19465300596686991</v>
      </c>
      <c r="F75" s="38">
        <f t="shared" si="21"/>
        <v>0.91190335170398595</v>
      </c>
      <c r="G75" s="38">
        <f t="shared" si="21"/>
        <v>2.7490649998660168</v>
      </c>
      <c r="H75" s="38">
        <f t="shared" si="21"/>
        <v>1.24717942979203</v>
      </c>
      <c r="I75" s="38">
        <f t="shared" si="21"/>
        <v>0.95853298924257135</v>
      </c>
      <c r="J75" s="38">
        <f t="shared" si="21"/>
        <v>0.74814512261971589</v>
      </c>
      <c r="K75" s="38">
        <f t="shared" si="21"/>
        <v>0.9849288855491477</v>
      </c>
      <c r="L75" s="38">
        <f t="shared" si="21"/>
        <v>0.8648252680129257</v>
      </c>
      <c r="M75" s="38">
        <f t="shared" si="21"/>
        <v>0.87453399025717005</v>
      </c>
      <c r="N75" s="38">
        <f t="shared" si="21"/>
        <v>1.0575760544527655</v>
      </c>
      <c r="O75" s="38">
        <f t="shared" si="21"/>
        <v>0.56682845946153737</v>
      </c>
      <c r="P75" s="38">
        <f t="shared" si="21"/>
        <v>1.4335851600256246</v>
      </c>
      <c r="Q75" s="38">
        <f t="shared" si="21"/>
        <v>0.19076512928809652</v>
      </c>
      <c r="R75" s="38">
        <f t="shared" si="21"/>
        <v>0.55848760387307217</v>
      </c>
      <c r="S75" s="38">
        <f t="shared" si="21"/>
        <v>0.71778209395667902</v>
      </c>
      <c r="T75" s="38">
        <f t="shared" si="21"/>
        <v>1.1324051017795098</v>
      </c>
      <c r="U75" s="38">
        <f t="shared" si="21"/>
        <v>1.0172827295726428</v>
      </c>
      <c r="V75" s="38">
        <f t="shared" si="21"/>
        <v>0.83432269574132778</v>
      </c>
      <c r="W75" s="38">
        <f t="shared" si="21"/>
        <v>0.88319675713353429</v>
      </c>
      <c r="X75" s="38">
        <f t="shared" si="21"/>
        <v>0.86839047770794175</v>
      </c>
      <c r="Y75" s="38">
        <f t="shared" si="21"/>
        <v>0.75567919256512384</v>
      </c>
      <c r="Z75" s="38">
        <f t="shared" si="21"/>
        <v>0.84510907644332323</v>
      </c>
      <c r="AA75" s="38">
        <f t="shared" si="21"/>
        <v>0.77750541203779977</v>
      </c>
      <c r="AB75" s="38">
        <f t="shared" si="21"/>
        <v>1.8652827104717897</v>
      </c>
      <c r="AC75" s="38">
        <f t="shared" ref="AC75:AE75" si="26">AC60/AC45</f>
        <v>0.20936494361225716</v>
      </c>
      <c r="AD75" s="38">
        <f t="shared" si="26"/>
        <v>0.76174458295239311</v>
      </c>
      <c r="AE75" s="38">
        <f t="shared" si="26"/>
        <v>0.57019092175141117</v>
      </c>
      <c r="AF75" s="38">
        <f t="shared" si="22"/>
        <v>0.95917662081334121</v>
      </c>
      <c r="AG75" s="38">
        <f t="shared" si="22"/>
        <v>1.0880590324408494</v>
      </c>
      <c r="AH75" s="38">
        <f t="shared" si="22"/>
        <v>0.81013364274690525</v>
      </c>
      <c r="AI75" s="38">
        <f t="shared" si="22"/>
        <v>0.69981902854605771</v>
      </c>
      <c r="AJ75" s="38">
        <f t="shared" si="22"/>
        <v>1.0229573624459507</v>
      </c>
      <c r="AK75" s="38">
        <f t="shared" si="22"/>
        <v>0.43495748475786156</v>
      </c>
    </row>
    <row r="76" spans="1:37" ht="16.350000000000001" customHeight="1">
      <c r="B76" s="40" t="s">
        <v>85</v>
      </c>
      <c r="C76" s="18" t="s">
        <v>66</v>
      </c>
      <c r="D76" s="39"/>
      <c r="E76" s="38">
        <f t="shared" si="23"/>
        <v>0.17826369388812208</v>
      </c>
      <c r="F76" s="38">
        <f t="shared" si="21"/>
        <v>0.18429947335539787</v>
      </c>
      <c r="G76" s="38">
        <f t="shared" si="21"/>
        <v>29.496364075498104</v>
      </c>
      <c r="H76" s="38">
        <f t="shared" si="21"/>
        <v>0.35658252223011516</v>
      </c>
      <c r="I76" s="38">
        <f t="shared" si="21"/>
        <v>0.43437571975827244</v>
      </c>
      <c r="J76" s="38">
        <f t="shared" si="21"/>
        <v>0.46950422260876795</v>
      </c>
      <c r="K76" s="38">
        <f t="shared" si="21"/>
        <v>0.45511093822620474</v>
      </c>
      <c r="L76" s="38">
        <f t="shared" si="21"/>
        <v>0.35805395836189013</v>
      </c>
      <c r="M76" s="38">
        <f t="shared" si="21"/>
        <v>0.39732353054243619</v>
      </c>
      <c r="N76" s="38">
        <f t="shared" si="21"/>
        <v>1.4219792489223366</v>
      </c>
      <c r="O76" s="38">
        <f t="shared" si="21"/>
        <v>0.70011643075059693</v>
      </c>
      <c r="P76" s="38">
        <f t="shared" si="21"/>
        <v>0.77393392263138894</v>
      </c>
      <c r="Q76" s="38">
        <f t="shared" si="21"/>
        <v>0.25790556192402192</v>
      </c>
      <c r="R76" s="38">
        <f t="shared" si="21"/>
        <v>0.73815931203670937</v>
      </c>
      <c r="S76" s="38">
        <f t="shared" si="21"/>
        <v>1.2430313348942921</v>
      </c>
      <c r="T76" s="38">
        <f t="shared" si="21"/>
        <v>0.489271947549831</v>
      </c>
      <c r="U76" s="38">
        <f t="shared" si="21"/>
        <v>0.43748877901341432</v>
      </c>
      <c r="V76" s="38">
        <f t="shared" si="21"/>
        <v>0.53024011261462189</v>
      </c>
      <c r="W76" s="38">
        <f t="shared" si="21"/>
        <v>0.54267099790533746</v>
      </c>
      <c r="X76" s="38">
        <f t="shared" si="21"/>
        <v>0.57691341012932051</v>
      </c>
      <c r="Y76" s="38">
        <f t="shared" si="21"/>
        <v>0.87525272063028614</v>
      </c>
      <c r="Z76" s="38">
        <f t="shared" si="21"/>
        <v>0.65475922850191925</v>
      </c>
      <c r="AA76" s="38">
        <f t="shared" si="21"/>
        <v>0.46532915796817825</v>
      </c>
      <c r="AB76" s="38">
        <f t="shared" si="21"/>
        <v>1.1800042980587269</v>
      </c>
      <c r="AC76" s="38">
        <f t="shared" ref="AC76:AE76" si="27">AC61/AC46</f>
        <v>0.24520721393588932</v>
      </c>
      <c r="AD76" s="38">
        <f t="shared" si="27"/>
        <v>1.5237063575405616</v>
      </c>
      <c r="AE76" s="38">
        <f t="shared" si="27"/>
        <v>0.46511462867707543</v>
      </c>
      <c r="AF76" s="38">
        <f t="shared" si="22"/>
        <v>0.41404211291316856</v>
      </c>
      <c r="AG76" s="38">
        <f t="shared" si="22"/>
        <v>0.32984012493381465</v>
      </c>
      <c r="AH76" s="38">
        <f t="shared" si="22"/>
        <v>0.34827535027748324</v>
      </c>
      <c r="AI76" s="38">
        <f t="shared" si="22"/>
        <v>0.33013784303984234</v>
      </c>
      <c r="AJ76" s="38">
        <f t="shared" si="22"/>
        <v>0.42204493253674202</v>
      </c>
      <c r="AK76" s="38">
        <f t="shared" si="22"/>
        <v>0.49432544627258201</v>
      </c>
    </row>
    <row r="77" spans="1:37" ht="16.350000000000001" customHeight="1">
      <c r="B77" s="40" t="s">
        <v>115</v>
      </c>
      <c r="C77" s="18" t="s">
        <v>66</v>
      </c>
      <c r="D77" s="39"/>
      <c r="E77" s="38">
        <f t="shared" si="23"/>
        <v>0.16291842327352052</v>
      </c>
      <c r="F77" s="38">
        <f t="shared" si="21"/>
        <v>0.24805704680672072</v>
      </c>
      <c r="G77" s="38">
        <f t="shared" si="21"/>
        <v>0.48470759136848768</v>
      </c>
      <c r="H77" s="38">
        <f t="shared" si="21"/>
        <v>0.99811587778619459</v>
      </c>
      <c r="I77" s="38">
        <f t="shared" si="21"/>
        <v>0.37451601563489251</v>
      </c>
      <c r="J77" s="38">
        <f t="shared" si="21"/>
        <v>0.38141417624890034</v>
      </c>
      <c r="K77" s="38">
        <f t="shared" si="21"/>
        <v>0.39738063884046743</v>
      </c>
      <c r="L77" s="38">
        <f t="shared" si="21"/>
        <v>0.34298613725169425</v>
      </c>
      <c r="M77" s="38">
        <f t="shared" si="21"/>
        <v>0.40753624504623531</v>
      </c>
      <c r="N77" s="38">
        <f t="shared" si="21"/>
        <v>0.62854560299188122</v>
      </c>
      <c r="O77" s="38">
        <f t="shared" si="21"/>
        <v>0.37129679258828585</v>
      </c>
      <c r="P77" s="38">
        <f t="shared" si="21"/>
        <v>0.42992190363809774</v>
      </c>
      <c r="Q77" s="38">
        <f t="shared" si="21"/>
        <v>0.34258572819190186</v>
      </c>
      <c r="R77" s="38">
        <f t="shared" si="21"/>
        <v>0.22222776287084786</v>
      </c>
      <c r="S77" s="38">
        <f t="shared" si="21"/>
        <v>0.43123725821409031</v>
      </c>
      <c r="T77" s="38">
        <f t="shared" si="21"/>
        <v>0.59740772609738502</v>
      </c>
      <c r="U77" s="38">
        <f t="shared" si="21"/>
        <v>0.6016301671389539</v>
      </c>
      <c r="V77" s="38">
        <f t="shared" si="21"/>
        <v>0.46016217387824626</v>
      </c>
      <c r="W77" s="38">
        <f t="shared" si="21"/>
        <v>0.53306197422752455</v>
      </c>
      <c r="X77" s="38">
        <f t="shared" si="21"/>
        <v>1.1593882802076589</v>
      </c>
      <c r="Y77" s="38">
        <f t="shared" si="21"/>
        <v>1.0179597879503839</v>
      </c>
      <c r="Z77" s="38">
        <f t="shared" si="21"/>
        <v>0.53420511463353038</v>
      </c>
      <c r="AA77" s="38">
        <f t="shared" si="21"/>
        <v>0.39921769492571957</v>
      </c>
      <c r="AB77" s="38">
        <f t="shared" si="21"/>
        <v>0.57917547983323803</v>
      </c>
      <c r="AC77" s="38">
        <f t="shared" ref="AC77:AE77" si="28">AC62/AC47</f>
        <v>0.5002540281713812</v>
      </c>
      <c r="AD77" s="38">
        <f t="shared" si="28"/>
        <v>0.55479848594504688</v>
      </c>
      <c r="AE77" s="38">
        <f t="shared" si="28"/>
        <v>0.34132835157629104</v>
      </c>
      <c r="AF77" s="38">
        <f t="shared" si="22"/>
        <v>0.6677297593521444</v>
      </c>
      <c r="AG77" s="38">
        <f t="shared" si="22"/>
        <v>0.63750933302206969</v>
      </c>
      <c r="AH77" s="38">
        <f t="shared" si="22"/>
        <v>0.47799264512086792</v>
      </c>
      <c r="AI77" s="38">
        <f t="shared" si="22"/>
        <v>0.57159238489979425</v>
      </c>
      <c r="AJ77" s="38">
        <f t="shared" si="22"/>
        <v>0.7129207025210712</v>
      </c>
      <c r="AK77" s="38">
        <f t="shared" si="22"/>
        <v>0.91792290934729293</v>
      </c>
    </row>
    <row r="78" spans="1:37" ht="16.350000000000001" customHeight="1">
      <c r="B78" s="40" t="s">
        <v>116</v>
      </c>
      <c r="C78" s="18" t="s">
        <v>66</v>
      </c>
      <c r="D78" s="39"/>
      <c r="E78" s="38">
        <f t="shared" si="23"/>
        <v>0.17439213057043754</v>
      </c>
      <c r="F78" s="38">
        <f t="shared" si="21"/>
        <v>0.86592960768151583</v>
      </c>
      <c r="G78" s="38">
        <f t="shared" si="21"/>
        <v>74.027270577475733</v>
      </c>
      <c r="H78" s="38">
        <f t="shared" si="21"/>
        <v>0.11748131142543229</v>
      </c>
      <c r="I78" s="38">
        <f t="shared" si="21"/>
        <v>0.43878472811182695</v>
      </c>
      <c r="J78" s="38">
        <f t="shared" si="21"/>
        <v>0.19188386026759438</v>
      </c>
      <c r="K78" s="38">
        <f t="shared" si="21"/>
        <v>4.3588957085386897E-2</v>
      </c>
      <c r="L78" s="38">
        <f t="shared" si="21"/>
        <v>6.0518268228451508E-2</v>
      </c>
      <c r="M78" s="38">
        <f t="shared" si="21"/>
        <v>0.17604028746322123</v>
      </c>
      <c r="N78" s="38">
        <f t="shared" si="21"/>
        <v>0.24667091904002861</v>
      </c>
      <c r="O78" s="38">
        <f t="shared" si="21"/>
        <v>0.27259432321606097</v>
      </c>
      <c r="P78" s="38">
        <f t="shared" si="21"/>
        <v>0.20274905687970016</v>
      </c>
      <c r="Q78" s="38">
        <f t="shared" si="21"/>
        <v>0.18974591196918605</v>
      </c>
      <c r="R78" s="38">
        <f t="shared" si="21"/>
        <v>0.14116908121183944</v>
      </c>
      <c r="S78" s="38">
        <f t="shared" si="21"/>
        <v>0.23203847095661678</v>
      </c>
      <c r="T78" s="38">
        <f t="shared" si="21"/>
        <v>0.19261492353622053</v>
      </c>
      <c r="U78" s="38">
        <f t="shared" si="21"/>
        <v>0.19046657216359825</v>
      </c>
      <c r="V78" s="38">
        <f t="shared" si="21"/>
        <v>0.19870426593342083</v>
      </c>
      <c r="W78" s="38">
        <f t="shared" si="21"/>
        <v>8.5017535277340739E-2</v>
      </c>
      <c r="X78" s="38">
        <f t="shared" si="21"/>
        <v>0.19022626861585298</v>
      </c>
      <c r="Y78" s="38">
        <f t="shared" si="21"/>
        <v>0.26079080104932395</v>
      </c>
      <c r="Z78" s="38">
        <f t="shared" si="21"/>
        <v>0.71156192499157156</v>
      </c>
      <c r="AA78" s="38">
        <f t="shared" si="21"/>
        <v>0.47449182179288812</v>
      </c>
      <c r="AB78" s="38">
        <f t="shared" si="21"/>
        <v>1.096913390034896</v>
      </c>
      <c r="AC78" s="38">
        <f t="shared" ref="AC78:AE78" si="29">AC63/AC48</f>
        <v>0.361969468709118</v>
      </c>
      <c r="AD78" s="38">
        <f t="shared" si="29"/>
        <v>0.95745943656981602</v>
      </c>
      <c r="AE78" s="38">
        <f t="shared" si="29"/>
        <v>0.34812809808353606</v>
      </c>
      <c r="AF78" s="38">
        <f t="shared" si="22"/>
        <v>0.52265721992024949</v>
      </c>
      <c r="AG78" s="38">
        <f t="shared" si="22"/>
        <v>0.49197214984027593</v>
      </c>
      <c r="AH78" s="38">
        <f t="shared" si="22"/>
        <v>0.73010578660140435</v>
      </c>
      <c r="AI78" s="38">
        <f t="shared" si="22"/>
        <v>0.33757882513579957</v>
      </c>
      <c r="AJ78" s="38">
        <f t="shared" si="22"/>
        <v>0.7160065286624262</v>
      </c>
      <c r="AK78" s="38">
        <f t="shared" si="22"/>
        <v>0.94101290309309549</v>
      </c>
    </row>
    <row r="79" spans="1:37" ht="16.350000000000001" customHeight="1">
      <c r="B79" s="40" t="s">
        <v>117</v>
      </c>
      <c r="C79" s="18" t="s">
        <v>66</v>
      </c>
      <c r="D79" s="39"/>
      <c r="E79" s="38">
        <f t="shared" si="23"/>
        <v>0</v>
      </c>
      <c r="F79" s="38">
        <f t="shared" si="21"/>
        <v>0</v>
      </c>
      <c r="G79" s="38">
        <f t="shared" si="21"/>
        <v>0</v>
      </c>
      <c r="H79" s="38">
        <f t="shared" si="21"/>
        <v>0</v>
      </c>
      <c r="I79" s="38">
        <f t="shared" si="21"/>
        <v>0</v>
      </c>
      <c r="J79" s="38">
        <f t="shared" si="21"/>
        <v>0</v>
      </c>
      <c r="K79" s="38">
        <f t="shared" si="21"/>
        <v>0</v>
      </c>
      <c r="L79" s="38">
        <f t="shared" si="21"/>
        <v>0.12792323852476484</v>
      </c>
      <c r="M79" s="38">
        <f t="shared" si="21"/>
        <v>1.9218768143240559</v>
      </c>
      <c r="N79" s="38">
        <f t="shared" si="21"/>
        <v>0.10452111982051412</v>
      </c>
      <c r="O79" s="38">
        <f t="shared" si="21"/>
        <v>0</v>
      </c>
      <c r="P79" s="38">
        <f t="shared" si="21"/>
        <v>0.62574896246562883</v>
      </c>
      <c r="Q79" s="38">
        <f t="shared" si="21"/>
        <v>0.7457503258362832</v>
      </c>
      <c r="R79" s="38">
        <f t="shared" si="21"/>
        <v>0</v>
      </c>
      <c r="S79" s="38">
        <f t="shared" si="21"/>
        <v>0</v>
      </c>
      <c r="T79" s="38">
        <f t="shared" si="21"/>
        <v>0.10377296073740795</v>
      </c>
      <c r="U79" s="38">
        <f t="shared" si="21"/>
        <v>0.13305308510593417</v>
      </c>
      <c r="V79" s="38">
        <f t="shared" si="21"/>
        <v>0.20329897895137755</v>
      </c>
      <c r="W79" s="38">
        <f t="shared" si="21"/>
        <v>2.8973615326899571</v>
      </c>
      <c r="X79" s="38">
        <f t="shared" si="21"/>
        <v>0.12657669773043209</v>
      </c>
      <c r="Y79" s="38">
        <f t="shared" si="21"/>
        <v>0.16248778881518766</v>
      </c>
      <c r="Z79" s="38">
        <f t="shared" si="21"/>
        <v>0.156517931753622</v>
      </c>
      <c r="AA79" s="38">
        <f t="shared" si="21"/>
        <v>0.14034620776388335</v>
      </c>
      <c r="AB79" s="38">
        <f t="shared" si="21"/>
        <v>0.14032875732754227</v>
      </c>
      <c r="AC79" s="38">
        <f t="shared" ref="AC79:AE79" si="30">AC64/AC49</f>
        <v>0.22271245611570395</v>
      </c>
      <c r="AD79" s="38">
        <f t="shared" si="30"/>
        <v>1.0416491368587475</v>
      </c>
      <c r="AE79" s="38">
        <f t="shared" si="30"/>
        <v>0.37756515484508701</v>
      </c>
      <c r="AF79" s="38">
        <f t="shared" si="22"/>
        <v>0</v>
      </c>
      <c r="AG79" s="38">
        <f t="shared" si="22"/>
        <v>0.19111625850269992</v>
      </c>
      <c r="AH79" s="38">
        <f t="shared" si="22"/>
        <v>0.48429794439705998</v>
      </c>
      <c r="AI79" s="38">
        <f t="shared" si="22"/>
        <v>0.35511509505896216</v>
      </c>
      <c r="AJ79" s="38">
        <f t="shared" si="22"/>
        <v>0</v>
      </c>
      <c r="AK79" s="38">
        <f t="shared" si="22"/>
        <v>0</v>
      </c>
    </row>
    <row r="80" spans="1:37" ht="16.350000000000001" customHeight="1">
      <c r="B80" s="40" t="s">
        <v>118</v>
      </c>
      <c r="C80" s="18" t="s">
        <v>66</v>
      </c>
      <c r="D80" s="39"/>
      <c r="E80" s="38">
        <f t="shared" si="23"/>
        <v>0</v>
      </c>
      <c r="F80" s="38">
        <f t="shared" si="21"/>
        <v>0</v>
      </c>
      <c r="G80" s="38">
        <f t="shared" si="21"/>
        <v>0</v>
      </c>
      <c r="H80" s="38">
        <f t="shared" si="21"/>
        <v>0</v>
      </c>
      <c r="I80" s="38">
        <f t="shared" si="21"/>
        <v>4.8473722443537079</v>
      </c>
      <c r="J80" s="38" t="e">
        <f t="shared" si="21"/>
        <v>#DIV/0!</v>
      </c>
      <c r="K80" s="38" t="e">
        <f t="shared" si="21"/>
        <v>#DIV/0!</v>
      </c>
      <c r="L80" s="38">
        <f t="shared" si="21"/>
        <v>0</v>
      </c>
      <c r="M80" s="38" t="e">
        <f t="shared" si="21"/>
        <v>#DIV/0!</v>
      </c>
      <c r="N80" s="38" t="e">
        <f t="shared" si="21"/>
        <v>#DIV/0!</v>
      </c>
      <c r="O80" s="38">
        <f t="shared" si="21"/>
        <v>0.53660939810187303</v>
      </c>
      <c r="P80" s="38">
        <f t="shared" si="21"/>
        <v>1.6002253780071702</v>
      </c>
      <c r="Q80" s="38">
        <f t="shared" si="21"/>
        <v>0</v>
      </c>
      <c r="R80" s="38">
        <f t="shared" si="21"/>
        <v>1.4516180715657605</v>
      </c>
      <c r="S80" s="38">
        <f t="shared" si="21"/>
        <v>0</v>
      </c>
      <c r="T80" s="38">
        <f t="shared" si="21"/>
        <v>0</v>
      </c>
      <c r="U80" s="38">
        <f t="shared" si="21"/>
        <v>0.78451229754794782</v>
      </c>
      <c r="V80" s="38">
        <f t="shared" si="21"/>
        <v>0</v>
      </c>
      <c r="W80" s="38">
        <f t="shared" si="21"/>
        <v>0.85762979910059245</v>
      </c>
      <c r="X80" s="38">
        <f t="shared" si="21"/>
        <v>0</v>
      </c>
      <c r="Y80" s="38">
        <f t="shared" si="21"/>
        <v>0</v>
      </c>
      <c r="Z80" s="38">
        <f t="shared" si="21"/>
        <v>0</v>
      </c>
      <c r="AA80" s="38">
        <f t="shared" si="21"/>
        <v>0</v>
      </c>
      <c r="AB80" s="38">
        <f t="shared" si="21"/>
        <v>0.13593492598905593</v>
      </c>
      <c r="AC80" s="38">
        <f t="shared" ref="AC80:AE80" si="31">AC65/AC50</f>
        <v>0</v>
      </c>
      <c r="AD80" s="38">
        <f t="shared" si="31"/>
        <v>0.69898618810282165</v>
      </c>
      <c r="AE80" s="38">
        <f t="shared" si="31"/>
        <v>0.83581242262988875</v>
      </c>
      <c r="AF80" s="38">
        <f t="shared" si="22"/>
        <v>1.1054192256354087</v>
      </c>
      <c r="AG80" s="38">
        <f t="shared" si="22"/>
        <v>1.1237585137349697</v>
      </c>
      <c r="AH80" s="38">
        <f t="shared" si="22"/>
        <v>1.0072081522890668</v>
      </c>
      <c r="AI80" s="38">
        <f t="shared" si="22"/>
        <v>0.31115739473638682</v>
      </c>
      <c r="AJ80" s="38">
        <f t="shared" si="22"/>
        <v>0.53926203769705883</v>
      </c>
      <c r="AK80" s="38">
        <f t="shared" si="22"/>
        <v>0</v>
      </c>
    </row>
    <row r="81" spans="1:37" ht="16.350000000000001" customHeight="1">
      <c r="B81" s="40" t="s">
        <v>101</v>
      </c>
      <c r="C81" s="18" t="s">
        <v>66</v>
      </c>
      <c r="D81" s="39"/>
      <c r="E81" s="38" t="e">
        <f t="shared" si="23"/>
        <v>#DIV/0!</v>
      </c>
      <c r="F81" s="38" t="e">
        <f t="shared" si="21"/>
        <v>#DIV/0!</v>
      </c>
      <c r="G81" s="38" t="e">
        <f t="shared" si="21"/>
        <v>#DIV/0!</v>
      </c>
      <c r="H81" s="38" t="e">
        <f t="shared" si="21"/>
        <v>#DIV/0!</v>
      </c>
      <c r="I81" s="38">
        <f t="shared" si="21"/>
        <v>1.333602781609168</v>
      </c>
      <c r="J81" s="38">
        <f t="shared" si="21"/>
        <v>0.12781576232182662</v>
      </c>
      <c r="K81" s="38">
        <f t="shared" si="21"/>
        <v>1.175550199728898</v>
      </c>
      <c r="L81" s="38">
        <f t="shared" si="21"/>
        <v>0.73901016809418762</v>
      </c>
      <c r="M81" s="38">
        <f t="shared" si="21"/>
        <v>0</v>
      </c>
      <c r="N81" s="38">
        <f t="shared" si="21"/>
        <v>0</v>
      </c>
      <c r="O81" s="38">
        <f t="shared" si="21"/>
        <v>0</v>
      </c>
      <c r="P81" s="38">
        <f t="shared" si="21"/>
        <v>0</v>
      </c>
      <c r="Q81" s="38">
        <f t="shared" si="21"/>
        <v>2.1331674547128028</v>
      </c>
      <c r="R81" s="38">
        <f t="shared" si="21"/>
        <v>3.4041856418821483</v>
      </c>
      <c r="S81" s="38">
        <f t="shared" si="21"/>
        <v>0.66045674431954882</v>
      </c>
      <c r="T81" s="38">
        <f t="shared" si="21"/>
        <v>5.5108965426533292</v>
      </c>
      <c r="U81" s="38">
        <f t="shared" si="21"/>
        <v>0</v>
      </c>
      <c r="V81" s="38">
        <f t="shared" si="21"/>
        <v>5.3901730095689264E-2</v>
      </c>
      <c r="W81" s="38">
        <f t="shared" si="21"/>
        <v>0.31307976699842732</v>
      </c>
      <c r="X81" s="38">
        <f t="shared" si="21"/>
        <v>5.9132696730785701E-2</v>
      </c>
      <c r="Y81" s="38">
        <f t="shared" si="21"/>
        <v>0.1970301115366182</v>
      </c>
      <c r="Z81" s="38">
        <f t="shared" si="21"/>
        <v>0.39781738858246046</v>
      </c>
      <c r="AA81" s="38">
        <f t="shared" si="21"/>
        <v>3.7295560450707819</v>
      </c>
      <c r="AB81" s="38">
        <f t="shared" si="21"/>
        <v>41.569970296870558</v>
      </c>
      <c r="AC81" s="38">
        <f t="shared" ref="AC81:AE81" si="32">AC66/AC51</f>
        <v>1.272111972563821</v>
      </c>
      <c r="AD81" s="38">
        <f t="shared" si="32"/>
        <v>2.1177782828473593</v>
      </c>
      <c r="AE81" s="38">
        <f t="shared" si="32"/>
        <v>4.936894784217067</v>
      </c>
      <c r="AF81" s="38">
        <f t="shared" si="22"/>
        <v>2.1994939228422812</v>
      </c>
      <c r="AG81" s="38">
        <f t="shared" si="22"/>
        <v>17.485251198350891</v>
      </c>
      <c r="AH81" s="38">
        <f t="shared" si="22"/>
        <v>0.71883433681856257</v>
      </c>
      <c r="AI81" s="38">
        <f t="shared" si="22"/>
        <v>0.63533697493804031</v>
      </c>
      <c r="AJ81" s="38">
        <f t="shared" si="22"/>
        <v>1.0708824750842787</v>
      </c>
      <c r="AK81" s="38">
        <f t="shared" si="22"/>
        <v>1.2772086309059147</v>
      </c>
    </row>
    <row r="82" spans="1:37" ht="16.350000000000001" customHeight="1">
      <c r="B82" s="40" t="s">
        <v>86</v>
      </c>
      <c r="C82" s="18" t="s">
        <v>66</v>
      </c>
      <c r="D82" s="39"/>
      <c r="E82" s="38">
        <f t="shared" si="23"/>
        <v>0.78053290636077366</v>
      </c>
      <c r="F82" s="38">
        <f t="shared" si="21"/>
        <v>1.0835713626908889</v>
      </c>
      <c r="G82" s="38">
        <f t="shared" si="21"/>
        <v>1.1496085784635679</v>
      </c>
      <c r="H82" s="38">
        <f t="shared" si="21"/>
        <v>1.0795502588395613</v>
      </c>
      <c r="I82" s="38">
        <f t="shared" si="21"/>
        <v>1.1240773695337252</v>
      </c>
      <c r="J82" s="38">
        <f t="shared" si="21"/>
        <v>0.95460100211714516</v>
      </c>
      <c r="K82" s="38">
        <f t="shared" si="21"/>
        <v>0.99518540249069309</v>
      </c>
      <c r="L82" s="38">
        <f t="shared" si="21"/>
        <v>0.8428521305707688</v>
      </c>
      <c r="M82" s="38">
        <f t="shared" si="21"/>
        <v>1.0848289899327159</v>
      </c>
      <c r="N82" s="38">
        <f t="shared" si="21"/>
        <v>0.90366254461074702</v>
      </c>
      <c r="O82" s="38">
        <f t="shared" si="21"/>
        <v>0.79536816119099518</v>
      </c>
      <c r="P82" s="38">
        <f t="shared" si="21"/>
        <v>0.74570560524688423</v>
      </c>
      <c r="Q82" s="38">
        <f t="shared" si="21"/>
        <v>0.75839008940963193</v>
      </c>
      <c r="R82" s="38">
        <f t="shared" si="21"/>
        <v>0.87297055580959715</v>
      </c>
      <c r="S82" s="38">
        <f t="shared" si="21"/>
        <v>1.0412976183193012</v>
      </c>
      <c r="T82" s="38">
        <f t="shared" si="21"/>
        <v>1.2072017381501459</v>
      </c>
      <c r="U82" s="38">
        <f t="shared" si="21"/>
        <v>1.1350578716601638</v>
      </c>
      <c r="V82" s="38">
        <f t="shared" si="21"/>
        <v>1.0011973271535126</v>
      </c>
      <c r="W82" s="38">
        <f t="shared" si="21"/>
        <v>0.98497906728673645</v>
      </c>
      <c r="X82" s="38">
        <f t="shared" si="21"/>
        <v>1.0407991089011175</v>
      </c>
      <c r="Y82" s="38">
        <f t="shared" si="21"/>
        <v>1.2114540469250914</v>
      </c>
      <c r="Z82" s="38">
        <f t="shared" si="21"/>
        <v>0.93675850449474729</v>
      </c>
      <c r="AA82" s="38">
        <f t="shared" si="21"/>
        <v>0.71266092965262851</v>
      </c>
      <c r="AB82" s="38">
        <f t="shared" si="21"/>
        <v>0.71098617082560567</v>
      </c>
      <c r="AC82" s="38">
        <f t="shared" ref="AC82:AE82" si="33">AC67/AC52</f>
        <v>0.91079631473437328</v>
      </c>
      <c r="AD82" s="38">
        <f t="shared" si="33"/>
        <v>1.046846832503433</v>
      </c>
      <c r="AE82" s="38">
        <f t="shared" si="33"/>
        <v>1.0036334812905148</v>
      </c>
      <c r="AF82" s="38">
        <f t="shared" si="22"/>
        <v>1.2494431096072511</v>
      </c>
      <c r="AG82" s="38">
        <f t="shared" si="22"/>
        <v>1.1011702044823766</v>
      </c>
      <c r="AH82" s="38">
        <f t="shared" si="22"/>
        <v>0.96189437181362558</v>
      </c>
      <c r="AI82" s="38">
        <f t="shared" si="22"/>
        <v>0.917704941527</v>
      </c>
      <c r="AJ82" s="38">
        <f t="shared" si="22"/>
        <v>1.0998047371884287</v>
      </c>
      <c r="AK82" s="38">
        <f t="shared" si="22"/>
        <v>1.2495876451409069</v>
      </c>
    </row>
    <row r="83" spans="1:37" ht="16.350000000000001" customHeight="1">
      <c r="B83" s="40" t="s">
        <v>2</v>
      </c>
      <c r="C83" s="18" t="s">
        <v>66</v>
      </c>
      <c r="D83" s="39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</row>
    <row r="84" spans="1:37" ht="16.350000000000001" customHeight="1">
      <c r="B84" s="41" t="s">
        <v>108</v>
      </c>
      <c r="C84" s="18" t="s">
        <v>66</v>
      </c>
      <c r="D84" s="39"/>
      <c r="E84" s="72">
        <f t="shared" si="23"/>
        <v>0.69906997548499838</v>
      </c>
      <c r="F84" s="72">
        <f t="shared" ref="F84:AB84" si="34">F69/F54</f>
        <v>0.86196964735677128</v>
      </c>
      <c r="G84" s="72">
        <f t="shared" si="34"/>
        <v>2.3264510786005097</v>
      </c>
      <c r="H84" s="72">
        <f t="shared" si="34"/>
        <v>0.88505921843008439</v>
      </c>
      <c r="I84" s="72">
        <f t="shared" si="34"/>
        <v>0.85381679219568929</v>
      </c>
      <c r="J84" s="72">
        <f t="shared" si="34"/>
        <v>0.84932266076783125</v>
      </c>
      <c r="K84" s="72">
        <f t="shared" si="34"/>
        <v>0.81283522866094671</v>
      </c>
      <c r="L84" s="72">
        <f t="shared" si="34"/>
        <v>0.77939307718230189</v>
      </c>
      <c r="M84" s="72">
        <f t="shared" si="34"/>
        <v>1.031202381494166</v>
      </c>
      <c r="N84" s="72">
        <f t="shared" si="34"/>
        <v>0.84045177706260765</v>
      </c>
      <c r="O84" s="72">
        <f t="shared" si="34"/>
        <v>0.76330968233418173</v>
      </c>
      <c r="P84" s="72">
        <f t="shared" si="34"/>
        <v>0.97034844159068334</v>
      </c>
      <c r="Q84" s="72">
        <f t="shared" si="34"/>
        <v>0.75189611132641232</v>
      </c>
      <c r="R84" s="72">
        <f t="shared" si="34"/>
        <v>0.90903869635174783</v>
      </c>
      <c r="S84" s="72">
        <f t="shared" si="34"/>
        <v>0.91704550876969348</v>
      </c>
      <c r="T84" s="72">
        <f t="shared" si="34"/>
        <v>0.97263750829775686</v>
      </c>
      <c r="U84" s="72">
        <f t="shared" si="34"/>
        <v>0.86458517445870053</v>
      </c>
      <c r="V84" s="72">
        <f t="shared" si="34"/>
        <v>0.83232918440922765</v>
      </c>
      <c r="W84" s="72">
        <f t="shared" si="34"/>
        <v>1.0461539626241221</v>
      </c>
      <c r="X84" s="72">
        <f t="shared" si="34"/>
        <v>0.86480907504473237</v>
      </c>
      <c r="Y84" s="72">
        <f t="shared" si="34"/>
        <v>0.99491247509127456</v>
      </c>
      <c r="Z84" s="72">
        <f t="shared" si="34"/>
        <v>0.86102128970778691</v>
      </c>
      <c r="AA84" s="72">
        <f t="shared" si="34"/>
        <v>0.79396679854932883</v>
      </c>
      <c r="AB84" s="72">
        <f t="shared" si="34"/>
        <v>0.85584870022462967</v>
      </c>
      <c r="AC84" s="72">
        <f t="shared" ref="AC84:AK84" si="35">AC69/AC54</f>
        <v>0.84215536446357209</v>
      </c>
      <c r="AD84" s="72">
        <f t="shared" si="35"/>
        <v>0.95273054624153342</v>
      </c>
      <c r="AE84" s="72">
        <f t="shared" si="35"/>
        <v>0.88205741021389372</v>
      </c>
      <c r="AF84" s="72">
        <f t="shared" si="35"/>
        <v>0.93490170412654416</v>
      </c>
      <c r="AG84" s="72">
        <f t="shared" si="35"/>
        <v>0.9120249915287173</v>
      </c>
      <c r="AH84" s="72">
        <f t="shared" si="35"/>
        <v>0.87291319663126432</v>
      </c>
      <c r="AI84" s="72">
        <f t="shared" si="35"/>
        <v>0.81904414984749685</v>
      </c>
      <c r="AJ84" s="72">
        <f t="shared" si="35"/>
        <v>0.9051196851351867</v>
      </c>
      <c r="AK84" s="72">
        <f t="shared" si="35"/>
        <v>1.0075199614025414</v>
      </c>
    </row>
    <row r="85" spans="1:37" ht="16.350000000000001" customHeight="1">
      <c r="B85" s="18"/>
      <c r="C85" s="39"/>
      <c r="D85" s="39"/>
    </row>
    <row r="86" spans="1:37" s="6" customFormat="1" ht="15.75" customHeight="1" thickBot="1">
      <c r="A86" s="3" t="s">
        <v>90</v>
      </c>
      <c r="B86" s="4"/>
      <c r="C86" s="4" t="s">
        <v>20</v>
      </c>
      <c r="D86" s="4" t="s">
        <v>21</v>
      </c>
      <c r="E86" s="19">
        <v>44927</v>
      </c>
      <c r="F86" s="19">
        <v>44958</v>
      </c>
      <c r="G86" s="19">
        <v>44986</v>
      </c>
      <c r="H86" s="19">
        <v>45017</v>
      </c>
      <c r="I86" s="19">
        <v>45047</v>
      </c>
      <c r="J86" s="19">
        <v>45078</v>
      </c>
      <c r="K86" s="19">
        <v>45108</v>
      </c>
      <c r="L86" s="19">
        <v>45139</v>
      </c>
      <c r="M86" s="19">
        <v>45170</v>
      </c>
      <c r="N86" s="19">
        <v>45200</v>
      </c>
      <c r="O86" s="19">
        <v>45231</v>
      </c>
      <c r="P86" s="19">
        <v>45261</v>
      </c>
      <c r="Q86" s="19">
        <v>45292</v>
      </c>
      <c r="R86" s="19">
        <v>45323</v>
      </c>
      <c r="S86" s="19">
        <v>45352</v>
      </c>
      <c r="T86" s="19">
        <v>45383</v>
      </c>
      <c r="U86" s="19">
        <v>45413</v>
      </c>
      <c r="V86" s="19">
        <v>45444</v>
      </c>
      <c r="W86" s="19">
        <v>45474</v>
      </c>
      <c r="X86" s="19">
        <v>45505</v>
      </c>
      <c r="Y86" s="19">
        <v>45536</v>
      </c>
      <c r="Z86" s="19">
        <v>45566</v>
      </c>
      <c r="AA86" s="19">
        <v>45597</v>
      </c>
      <c r="AB86" s="19">
        <v>45627</v>
      </c>
      <c r="AC86" s="19">
        <v>45658</v>
      </c>
      <c r="AD86" s="19">
        <v>45689</v>
      </c>
      <c r="AE86" s="19">
        <v>45717</v>
      </c>
    </row>
    <row r="87" spans="1:37" ht="16.350000000000001" customHeight="1">
      <c r="B87" s="44" t="s">
        <v>111</v>
      </c>
      <c r="C87" s="39" t="s">
        <v>119</v>
      </c>
      <c r="D87" s="37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5"/>
    </row>
    <row r="88" spans="1:37" ht="16.350000000000001" customHeight="1">
      <c r="B88" s="40" t="s">
        <v>112</v>
      </c>
      <c r="C88" s="39" t="s">
        <v>119</v>
      </c>
      <c r="D88" s="39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5"/>
    </row>
    <row r="89" spans="1:37" ht="16.350000000000001" customHeight="1">
      <c r="B89" s="40" t="s">
        <v>113</v>
      </c>
      <c r="C89" s="39" t="s">
        <v>119</v>
      </c>
      <c r="D89" s="39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5"/>
    </row>
    <row r="90" spans="1:37" ht="16.350000000000001" customHeight="1">
      <c r="B90" s="40" t="s">
        <v>114</v>
      </c>
      <c r="C90" s="39" t="s">
        <v>119</v>
      </c>
      <c r="D90" s="39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5"/>
    </row>
    <row r="91" spans="1:37" ht="16.350000000000001" customHeight="1">
      <c r="B91" s="40" t="s">
        <v>85</v>
      </c>
      <c r="C91" s="39" t="s">
        <v>119</v>
      </c>
      <c r="D91" s="39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5"/>
    </row>
    <row r="92" spans="1:37" ht="16.350000000000001" customHeight="1">
      <c r="B92" s="40" t="s">
        <v>115</v>
      </c>
      <c r="C92" s="39" t="s">
        <v>119</v>
      </c>
      <c r="D92" s="39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5"/>
    </row>
    <row r="93" spans="1:37" ht="16.350000000000001" customHeight="1">
      <c r="B93" s="40" t="s">
        <v>116</v>
      </c>
      <c r="C93" s="39" t="s">
        <v>119</v>
      </c>
      <c r="D93" s="39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5"/>
    </row>
    <row r="94" spans="1:37" ht="16.350000000000001" customHeight="1">
      <c r="B94" s="40" t="s">
        <v>117</v>
      </c>
      <c r="C94" s="39" t="s">
        <v>119</v>
      </c>
      <c r="D94" s="39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5"/>
    </row>
    <row r="95" spans="1:37" ht="16.350000000000001" customHeight="1">
      <c r="B95" s="40" t="s">
        <v>118</v>
      </c>
      <c r="C95" s="39" t="s">
        <v>119</v>
      </c>
      <c r="D95" s="39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5"/>
    </row>
    <row r="96" spans="1:37" ht="16.350000000000001" customHeight="1">
      <c r="B96" s="40" t="s">
        <v>101</v>
      </c>
      <c r="C96" s="39" t="s">
        <v>119</v>
      </c>
      <c r="D96" s="39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5"/>
    </row>
    <row r="97" spans="1:37" ht="16.350000000000001" customHeight="1">
      <c r="B97" s="40" t="s">
        <v>86</v>
      </c>
      <c r="C97" s="39" t="s">
        <v>119</v>
      </c>
      <c r="D97" s="39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5"/>
    </row>
    <row r="98" spans="1:37" ht="16.350000000000001" customHeight="1">
      <c r="B98" s="40" t="s">
        <v>2</v>
      </c>
      <c r="C98" s="39" t="s">
        <v>119</v>
      </c>
      <c r="D98" s="39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5"/>
    </row>
    <row r="99" spans="1:37" ht="16.350000000000001" customHeight="1">
      <c r="B99" s="41" t="s">
        <v>108</v>
      </c>
      <c r="C99" s="39" t="s">
        <v>119</v>
      </c>
      <c r="D99" s="39"/>
      <c r="E99" s="66">
        <f>SUBTOTAL(9,E87:E97)</f>
        <v>0</v>
      </c>
      <c r="F99" s="66">
        <f t="shared" ref="F99:I99" si="36">SUBTOTAL(9,F87:F97)</f>
        <v>0</v>
      </c>
      <c r="G99" s="66">
        <f t="shared" si="36"/>
        <v>0</v>
      </c>
      <c r="H99" s="66">
        <f t="shared" si="36"/>
        <v>0</v>
      </c>
      <c r="I99" s="66">
        <f t="shared" si="36"/>
        <v>0</v>
      </c>
      <c r="J99" s="66">
        <f>SUBTOTAL(9,J87:J97)</f>
        <v>0</v>
      </c>
      <c r="K99" s="66">
        <f t="shared" ref="K99:AB99" si="37">SUBTOTAL(9,K87:K97)</f>
        <v>0</v>
      </c>
      <c r="L99" s="66">
        <f t="shared" si="37"/>
        <v>0</v>
      </c>
      <c r="M99" s="66">
        <f t="shared" si="37"/>
        <v>0</v>
      </c>
      <c r="N99" s="66">
        <f t="shared" si="37"/>
        <v>0</v>
      </c>
      <c r="O99" s="66">
        <f t="shared" si="37"/>
        <v>0</v>
      </c>
      <c r="P99" s="66">
        <f t="shared" si="37"/>
        <v>0</v>
      </c>
      <c r="Q99" s="66">
        <f t="shared" si="37"/>
        <v>0</v>
      </c>
      <c r="R99" s="66">
        <f t="shared" si="37"/>
        <v>0</v>
      </c>
      <c r="S99" s="66">
        <f t="shared" si="37"/>
        <v>0</v>
      </c>
      <c r="T99" s="66">
        <f t="shared" si="37"/>
        <v>0</v>
      </c>
      <c r="U99" s="66">
        <f t="shared" si="37"/>
        <v>0</v>
      </c>
      <c r="V99" s="66">
        <f t="shared" si="37"/>
        <v>0</v>
      </c>
      <c r="W99" s="66">
        <f t="shared" si="37"/>
        <v>0</v>
      </c>
      <c r="X99" s="66">
        <f t="shared" si="37"/>
        <v>0</v>
      </c>
      <c r="Y99" s="66">
        <f t="shared" si="37"/>
        <v>0</v>
      </c>
      <c r="Z99" s="66">
        <f t="shared" si="37"/>
        <v>0</v>
      </c>
      <c r="AA99" s="66">
        <f t="shared" si="37"/>
        <v>0</v>
      </c>
      <c r="AB99" s="66">
        <f t="shared" si="37"/>
        <v>0</v>
      </c>
      <c r="AC99" s="67"/>
    </row>
    <row r="100" spans="1:37" ht="16.350000000000001" customHeight="1">
      <c r="B100" s="18"/>
      <c r="C100" s="39"/>
      <c r="D100" s="39"/>
    </row>
    <row r="101" spans="1:37" s="6" customFormat="1" ht="15.75" customHeight="1" thickBot="1">
      <c r="A101" s="3" t="s">
        <v>91</v>
      </c>
      <c r="B101" s="4"/>
      <c r="C101" s="4" t="s">
        <v>20</v>
      </c>
      <c r="D101" s="4" t="s">
        <v>21</v>
      </c>
      <c r="E101" s="19">
        <v>44927</v>
      </c>
      <c r="F101" s="19">
        <v>44958</v>
      </c>
      <c r="G101" s="19">
        <v>44986</v>
      </c>
      <c r="H101" s="19">
        <v>45017</v>
      </c>
      <c r="I101" s="19">
        <v>45047</v>
      </c>
      <c r="J101" s="19">
        <v>45078</v>
      </c>
      <c r="K101" s="19">
        <v>45108</v>
      </c>
      <c r="L101" s="19">
        <v>45139</v>
      </c>
      <c r="M101" s="19">
        <v>45170</v>
      </c>
      <c r="N101" s="19">
        <v>45200</v>
      </c>
      <c r="O101" s="19">
        <v>45231</v>
      </c>
      <c r="P101" s="19">
        <v>45261</v>
      </c>
      <c r="Q101" s="19">
        <v>45292</v>
      </c>
      <c r="R101" s="19">
        <v>45323</v>
      </c>
      <c r="S101" s="19">
        <v>45352</v>
      </c>
      <c r="T101" s="19">
        <v>45383</v>
      </c>
      <c r="U101" s="19">
        <v>45413</v>
      </c>
      <c r="V101" s="19">
        <v>45444</v>
      </c>
      <c r="W101" s="19">
        <v>45474</v>
      </c>
      <c r="X101" s="19">
        <v>45505</v>
      </c>
      <c r="Y101" s="19">
        <v>45536</v>
      </c>
      <c r="Z101" s="19">
        <v>45566</v>
      </c>
      <c r="AA101" s="19">
        <v>45597</v>
      </c>
      <c r="AB101" s="19">
        <v>45627</v>
      </c>
      <c r="AC101" s="19">
        <v>45658</v>
      </c>
      <c r="AD101" s="19">
        <v>45689</v>
      </c>
      <c r="AE101" s="19">
        <v>45717</v>
      </c>
      <c r="AF101" s="19">
        <v>45748</v>
      </c>
      <c r="AG101" s="19">
        <v>45778</v>
      </c>
      <c r="AH101" s="19">
        <v>45809</v>
      </c>
      <c r="AI101" s="19">
        <v>45839</v>
      </c>
      <c r="AJ101" s="19">
        <v>45870</v>
      </c>
      <c r="AK101" s="19">
        <v>45901</v>
      </c>
    </row>
    <row r="102" spans="1:37" ht="16.350000000000001" customHeight="1">
      <c r="B102" s="44" t="s">
        <v>111</v>
      </c>
      <c r="C102" s="39" t="s">
        <v>119</v>
      </c>
      <c r="D102" s="37"/>
      <c r="E102" s="64">
        <f>E42-E57</f>
        <v>24151389.15650104</v>
      </c>
      <c r="F102" s="64">
        <f t="shared" ref="F102:AB112" si="38">F42-F57</f>
        <v>30123053.931000024</v>
      </c>
      <c r="G102" s="64">
        <f t="shared" si="38"/>
        <v>26034761.506115004</v>
      </c>
      <c r="H102" s="64">
        <f t="shared" si="38"/>
        <v>7730072.6111817658</v>
      </c>
      <c r="I102" s="64">
        <f t="shared" si="38"/>
        <v>19252904.468720064</v>
      </c>
      <c r="J102" s="64">
        <f t="shared" si="38"/>
        <v>-12360463.98695004</v>
      </c>
      <c r="K102" s="64">
        <f t="shared" si="38"/>
        <v>17834345.532485038</v>
      </c>
      <c r="L102" s="64">
        <f t="shared" si="38"/>
        <v>10308229.159175068</v>
      </c>
      <c r="M102" s="64">
        <f t="shared" si="38"/>
        <v>-8538655.8473039865</v>
      </c>
      <c r="N102" s="64">
        <f t="shared" si="38"/>
        <v>14433192.020730048</v>
      </c>
      <c r="O102" s="64">
        <f t="shared" si="38"/>
        <v>14247648.869100034</v>
      </c>
      <c r="P102" s="64">
        <f t="shared" si="38"/>
        <v>-47149631.924574912</v>
      </c>
      <c r="Q102" s="64">
        <f t="shared" si="38"/>
        <v>36939559.517670065</v>
      </c>
      <c r="R102" s="64">
        <f t="shared" si="38"/>
        <v>-24465514.895479977</v>
      </c>
      <c r="S102" s="64">
        <f t="shared" si="38"/>
        <v>-127544.09322997928</v>
      </c>
      <c r="T102" s="64">
        <f t="shared" si="38"/>
        <v>12472120.200920016</v>
      </c>
      <c r="U102" s="64">
        <f t="shared" si="38"/>
        <v>14251847.676000059</v>
      </c>
      <c r="V102" s="64">
        <f t="shared" si="38"/>
        <v>9356512.6741679609</v>
      </c>
      <c r="W102" s="64">
        <f t="shared" si="38"/>
        <v>-3810571.3559579849</v>
      </c>
      <c r="X102" s="64">
        <f t="shared" si="38"/>
        <v>12167937.957286924</v>
      </c>
      <c r="Y102" s="64">
        <f t="shared" si="38"/>
        <v>-16216842.492424577</v>
      </c>
      <c r="Z102" s="64">
        <f t="shared" si="38"/>
        <v>9215845.9388500154</v>
      </c>
      <c r="AA102" s="64">
        <f t="shared" si="38"/>
        <v>8540757.2973700464</v>
      </c>
      <c r="AB102" s="64">
        <f t="shared" si="38"/>
        <v>51067857.846615016</v>
      </c>
      <c r="AC102" s="64">
        <f t="shared" ref="AC102:AK112" si="39">AC42-AC57</f>
        <v>9251726.8358473182</v>
      </c>
      <c r="AD102" s="64">
        <f t="shared" si="39"/>
        <v>30675526.328603894</v>
      </c>
      <c r="AE102" s="64">
        <f t="shared" si="39"/>
        <v>19085477.284696877</v>
      </c>
      <c r="AF102" s="64">
        <f t="shared" si="39"/>
        <v>18149033.81772095</v>
      </c>
      <c r="AG102" s="64">
        <f t="shared" si="39"/>
        <v>35770494.276655972</v>
      </c>
      <c r="AH102" s="64">
        <f t="shared" si="39"/>
        <v>11410172.323338747</v>
      </c>
      <c r="AI102" s="64">
        <f t="shared" si="39"/>
        <v>35266364.113934875</v>
      </c>
      <c r="AJ102" s="64">
        <f t="shared" si="39"/>
        <v>18247597.782290101</v>
      </c>
      <c r="AK102" s="64">
        <f t="shared" si="39"/>
        <v>-23641350.463244975</v>
      </c>
    </row>
    <row r="103" spans="1:37" ht="16.350000000000001" customHeight="1">
      <c r="B103" s="40" t="s">
        <v>112</v>
      </c>
      <c r="C103" s="39" t="s">
        <v>119</v>
      </c>
      <c r="D103" s="39"/>
      <c r="E103" s="64">
        <f t="shared" ref="E103:T112" si="40">E43-E58</f>
        <v>512884.00399999996</v>
      </c>
      <c r="F103" s="64">
        <f t="shared" si="40"/>
        <v>161397.17199999999</v>
      </c>
      <c r="G103" s="64">
        <f t="shared" si="40"/>
        <v>1100724.0750000002</v>
      </c>
      <c r="H103" s="64">
        <f t="shared" si="40"/>
        <v>466736.86100000003</v>
      </c>
      <c r="I103" s="64">
        <f t="shared" si="40"/>
        <v>-50048.388000000268</v>
      </c>
      <c r="J103" s="64">
        <f t="shared" si="40"/>
        <v>-315002.26900000125</v>
      </c>
      <c r="K103" s="64">
        <f t="shared" si="40"/>
        <v>22717.688000000082</v>
      </c>
      <c r="L103" s="64">
        <f t="shared" si="40"/>
        <v>51294.253999999724</v>
      </c>
      <c r="M103" s="64">
        <f t="shared" si="40"/>
        <v>6181.8590000009572</v>
      </c>
      <c r="N103" s="64">
        <f t="shared" si="40"/>
        <v>433890.46700000018</v>
      </c>
      <c r="O103" s="64">
        <f t="shared" si="40"/>
        <v>63172.676999999676</v>
      </c>
      <c r="P103" s="64">
        <f t="shared" si="40"/>
        <v>147001.80700000038</v>
      </c>
      <c r="Q103" s="64">
        <f t="shared" si="40"/>
        <v>179060.55600000033</v>
      </c>
      <c r="R103" s="64">
        <f t="shared" si="40"/>
        <v>294856.22400000086</v>
      </c>
      <c r="S103" s="64">
        <f t="shared" si="40"/>
        <v>571105.72800000012</v>
      </c>
      <c r="T103" s="64">
        <f t="shared" si="40"/>
        <v>92039.47199999867</v>
      </c>
      <c r="U103" s="64">
        <f t="shared" si="38"/>
        <v>41343.126999999695</v>
      </c>
      <c r="V103" s="64">
        <f t="shared" si="38"/>
        <v>29615.485000000219</v>
      </c>
      <c r="W103" s="64">
        <f t="shared" si="38"/>
        <v>55894.966999999247</v>
      </c>
      <c r="X103" s="64">
        <f t="shared" si="38"/>
        <v>20480.05099999893</v>
      </c>
      <c r="Y103" s="64">
        <f t="shared" si="38"/>
        <v>28922.204000000143</v>
      </c>
      <c r="Z103" s="64">
        <f t="shared" si="38"/>
        <v>339670.05900000036</v>
      </c>
      <c r="AA103" s="64">
        <f t="shared" si="38"/>
        <v>493491.60106000025</v>
      </c>
      <c r="AB103" s="64">
        <f t="shared" si="38"/>
        <v>-383938.16669999983</v>
      </c>
      <c r="AC103" s="64">
        <f t="shared" ref="AC103:AE103" si="41">AC43-AC58</f>
        <v>375822.17399999988</v>
      </c>
      <c r="AD103" s="64">
        <f t="shared" si="41"/>
        <v>230371.58999999985</v>
      </c>
      <c r="AE103" s="64">
        <f t="shared" si="41"/>
        <v>1225495.1231209999</v>
      </c>
      <c r="AF103" s="64">
        <f t="shared" si="39"/>
        <v>214736.58814699983</v>
      </c>
      <c r="AG103" s="64">
        <f t="shared" si="39"/>
        <v>-268724.07121399743</v>
      </c>
      <c r="AH103" s="64">
        <f t="shared" si="39"/>
        <v>91315.233999999706</v>
      </c>
      <c r="AI103" s="64">
        <f t="shared" si="39"/>
        <v>81218.630014000461</v>
      </c>
      <c r="AJ103" s="64">
        <f t="shared" si="39"/>
        <v>36243.169999998994</v>
      </c>
      <c r="AK103" s="64">
        <f t="shared" si="39"/>
        <v>218678.13459199946</v>
      </c>
    </row>
    <row r="104" spans="1:37" ht="16.350000000000001" customHeight="1">
      <c r="B104" s="40" t="s">
        <v>113</v>
      </c>
      <c r="C104" s="39" t="s">
        <v>119</v>
      </c>
      <c r="D104" s="39"/>
      <c r="E104" s="64">
        <f t="shared" si="40"/>
        <v>427313.44951000006</v>
      </c>
      <c r="F104" s="64">
        <f t="shared" si="38"/>
        <v>424173.26300000004</v>
      </c>
      <c r="G104" s="64">
        <f t="shared" si="38"/>
        <v>120173.28902999999</v>
      </c>
      <c r="H104" s="64">
        <f t="shared" si="38"/>
        <v>16843.922724999953</v>
      </c>
      <c r="I104" s="64">
        <f t="shared" si="38"/>
        <v>112083.46846499998</v>
      </c>
      <c r="J104" s="64">
        <f t="shared" si="38"/>
        <v>170702.36064999993</v>
      </c>
      <c r="K104" s="64">
        <f t="shared" si="38"/>
        <v>-178617.4021399999</v>
      </c>
      <c r="L104" s="64">
        <f t="shared" si="38"/>
        <v>-48825.067630000063</v>
      </c>
      <c r="M104" s="64">
        <f t="shared" si="38"/>
        <v>74314.758944999892</v>
      </c>
      <c r="N104" s="64">
        <f t="shared" si="38"/>
        <v>102062.13151500007</v>
      </c>
      <c r="O104" s="64">
        <f t="shared" si="38"/>
        <v>257239.49145499989</v>
      </c>
      <c r="P104" s="64">
        <f t="shared" si="38"/>
        <v>182122.86740999995</v>
      </c>
      <c r="Q104" s="64">
        <f t="shared" si="38"/>
        <v>278286.7511420002</v>
      </c>
      <c r="R104" s="64">
        <f t="shared" si="38"/>
        <v>378075.39395600022</v>
      </c>
      <c r="S104" s="64">
        <f t="shared" si="38"/>
        <v>-44136.837243999937</v>
      </c>
      <c r="T104" s="64">
        <f t="shared" si="38"/>
        <v>-179029.25292</v>
      </c>
      <c r="U104" s="64">
        <f t="shared" si="38"/>
        <v>132538.15299999993</v>
      </c>
      <c r="V104" s="64">
        <f t="shared" si="38"/>
        <v>163179.23901599995</v>
      </c>
      <c r="W104" s="64">
        <f t="shared" si="38"/>
        <v>346417.2231820001</v>
      </c>
      <c r="X104" s="64">
        <f t="shared" si="38"/>
        <v>276105.88963799999</v>
      </c>
      <c r="Y104" s="64">
        <f t="shared" si="38"/>
        <v>110735.84142600012</v>
      </c>
      <c r="Z104" s="64">
        <f t="shared" si="38"/>
        <v>175662.58866800007</v>
      </c>
      <c r="AA104" s="64">
        <f t="shared" si="38"/>
        <v>-379347.91056600004</v>
      </c>
      <c r="AB104" s="64">
        <f t="shared" si="38"/>
        <v>-42957495.176685989</v>
      </c>
      <c r="AC104" s="64">
        <f t="shared" ref="AC104:AE104" si="42">AC44-AC59</f>
        <v>-344276.22687599994</v>
      </c>
      <c r="AD104" s="64">
        <f t="shared" si="42"/>
        <v>753116.96514799993</v>
      </c>
      <c r="AE104" s="64">
        <f t="shared" si="42"/>
        <v>314746.38138200005</v>
      </c>
      <c r="AF104" s="64">
        <f t="shared" si="39"/>
        <v>455949.96092599991</v>
      </c>
      <c r="AG104" s="64">
        <f t="shared" si="39"/>
        <v>268891.3906540001</v>
      </c>
      <c r="AH104" s="64">
        <f t="shared" si="39"/>
        <v>-290725.42553299991</v>
      </c>
      <c r="AI104" s="64">
        <f t="shared" si="39"/>
        <v>524234.35648899991</v>
      </c>
      <c r="AJ104" s="64">
        <f t="shared" si="39"/>
        <v>190469.61126000003</v>
      </c>
      <c r="AK104" s="64">
        <f t="shared" si="39"/>
        <v>204502.06257200008</v>
      </c>
    </row>
    <row r="105" spans="1:37" ht="16.350000000000001" customHeight="1">
      <c r="B105" s="40" t="s">
        <v>114</v>
      </c>
      <c r="C105" s="39" t="s">
        <v>119</v>
      </c>
      <c r="D105" s="39"/>
      <c r="E105" s="64">
        <f t="shared" si="40"/>
        <v>22799074.895964999</v>
      </c>
      <c r="F105" s="64">
        <f t="shared" si="38"/>
        <v>1755073.2760000005</v>
      </c>
      <c r="G105" s="64">
        <f t="shared" si="38"/>
        <v>-30692074.656194996</v>
      </c>
      <c r="H105" s="64">
        <f t="shared" si="38"/>
        <v>-2681424.6171869468</v>
      </c>
      <c r="I105" s="64">
        <f t="shared" si="38"/>
        <v>447452.03042500094</v>
      </c>
      <c r="J105" s="64">
        <f t="shared" si="38"/>
        <v>3041143.8889450021</v>
      </c>
      <c r="K105" s="64">
        <f t="shared" si="38"/>
        <v>185093.44266000018</v>
      </c>
      <c r="L105" s="64">
        <f t="shared" si="38"/>
        <v>1568356.4981649984</v>
      </c>
      <c r="M105" s="64">
        <f t="shared" si="38"/>
        <v>1387001.650890002</v>
      </c>
      <c r="N105" s="64">
        <f t="shared" si="38"/>
        <v>-694054.71761999652</v>
      </c>
      <c r="O105" s="64">
        <f t="shared" si="38"/>
        <v>7433837.5770499986</v>
      </c>
      <c r="P105" s="64">
        <f t="shared" si="38"/>
        <v>-9519493.9413150027</v>
      </c>
      <c r="Q105" s="64">
        <f t="shared" si="38"/>
        <v>20853146.800049998</v>
      </c>
      <c r="R105" s="64">
        <f t="shared" si="38"/>
        <v>11965103.976049999</v>
      </c>
      <c r="S105" s="64">
        <f t="shared" si="38"/>
        <v>5549377.7925499994</v>
      </c>
      <c r="T105" s="64">
        <f t="shared" si="38"/>
        <v>-1845046.2389500011</v>
      </c>
      <c r="U105" s="64">
        <f t="shared" si="38"/>
        <v>-242980.2444000002</v>
      </c>
      <c r="V105" s="64">
        <f t="shared" si="38"/>
        <v>2303557.2473500017</v>
      </c>
      <c r="W105" s="64">
        <f t="shared" si="38"/>
        <v>1754612.9865400009</v>
      </c>
      <c r="X105" s="64">
        <f t="shared" si="38"/>
        <v>2100557.117881</v>
      </c>
      <c r="Y105" s="64">
        <f t="shared" si="38"/>
        <v>3326356.4714499973</v>
      </c>
      <c r="Z105" s="64">
        <f t="shared" si="38"/>
        <v>2435105.0936000012</v>
      </c>
      <c r="AA105" s="64">
        <f t="shared" si="38"/>
        <v>4900618.3038400002</v>
      </c>
      <c r="AB105" s="64">
        <f t="shared" si="38"/>
        <v>-23729689.059535991</v>
      </c>
      <c r="AC105" s="64">
        <f t="shared" ref="AC105:AE105" si="43">AC45-AC60</f>
        <v>23722196.184149995</v>
      </c>
      <c r="AD105" s="64">
        <f t="shared" si="43"/>
        <v>5910534.3210000023</v>
      </c>
      <c r="AE105" s="64">
        <f t="shared" si="43"/>
        <v>10226222.760715999</v>
      </c>
      <c r="AF105" s="64">
        <f t="shared" si="39"/>
        <v>698098.31156100146</v>
      </c>
      <c r="AG105" s="64">
        <f t="shared" si="39"/>
        <v>-1436949.319752004</v>
      </c>
      <c r="AH105" s="64">
        <f t="shared" si="39"/>
        <v>3560575.5475930013</v>
      </c>
      <c r="AI105" s="64">
        <f t="shared" si="39"/>
        <v>5973274.4261680003</v>
      </c>
      <c r="AJ105" s="64">
        <f t="shared" si="39"/>
        <v>-421461.04223100096</v>
      </c>
      <c r="AK105" s="64">
        <f t="shared" si="39"/>
        <v>8518793.0245079994</v>
      </c>
    </row>
    <row r="106" spans="1:37" ht="16.350000000000001" customHeight="1">
      <c r="B106" s="40" t="s">
        <v>85</v>
      </c>
      <c r="C106" s="39" t="s">
        <v>119</v>
      </c>
      <c r="D106" s="39"/>
      <c r="E106" s="64">
        <f t="shared" si="40"/>
        <v>3690457.9044000003</v>
      </c>
      <c r="F106" s="64">
        <f t="shared" si="38"/>
        <v>2779401.2199999997</v>
      </c>
      <c r="G106" s="64">
        <f t="shared" si="38"/>
        <v>-321525873.24289995</v>
      </c>
      <c r="H106" s="64">
        <f t="shared" si="38"/>
        <v>12801862.858999997</v>
      </c>
      <c r="I106" s="64">
        <f t="shared" si="38"/>
        <v>15668923.878000002</v>
      </c>
      <c r="J106" s="64">
        <f t="shared" si="38"/>
        <v>18205294.004999999</v>
      </c>
      <c r="K106" s="64">
        <f t="shared" si="38"/>
        <v>20119622.883520003</v>
      </c>
      <c r="L106" s="64">
        <f t="shared" si="38"/>
        <v>21217895.743999995</v>
      </c>
      <c r="M106" s="64">
        <f t="shared" si="38"/>
        <v>14931341.142999992</v>
      </c>
      <c r="N106" s="64">
        <f t="shared" si="38"/>
        <v>-3558184.6753000002</v>
      </c>
      <c r="O106" s="64">
        <f t="shared" si="38"/>
        <v>1762590.7478999998</v>
      </c>
      <c r="P106" s="64">
        <f t="shared" si="38"/>
        <v>1113800.6587999994</v>
      </c>
      <c r="Q106" s="64">
        <f t="shared" si="38"/>
        <v>3920508.5580000002</v>
      </c>
      <c r="R106" s="64">
        <f t="shared" si="38"/>
        <v>1640543.1009999998</v>
      </c>
      <c r="S106" s="64">
        <f t="shared" si="38"/>
        <v>-844082.08499999996</v>
      </c>
      <c r="T106" s="64">
        <f t="shared" si="38"/>
        <v>5631182.6683</v>
      </c>
      <c r="U106" s="64">
        <f t="shared" si="38"/>
        <v>14429315.492999997</v>
      </c>
      <c r="V106" s="64">
        <f t="shared" si="38"/>
        <v>14352957.804200005</v>
      </c>
      <c r="W106" s="64">
        <f t="shared" si="38"/>
        <v>15893126.311499994</v>
      </c>
      <c r="X106" s="64">
        <f t="shared" si="38"/>
        <v>15929732.100299992</v>
      </c>
      <c r="Y106" s="64">
        <f t="shared" si="38"/>
        <v>2809280.0922000036</v>
      </c>
      <c r="Z106" s="64">
        <f t="shared" si="38"/>
        <v>4246435.6629999997</v>
      </c>
      <c r="AA106" s="64">
        <f t="shared" si="38"/>
        <v>2981589.9290000005</v>
      </c>
      <c r="AB106" s="64">
        <f t="shared" si="38"/>
        <v>-631985.29088999983</v>
      </c>
      <c r="AC106" s="64">
        <f t="shared" ref="AC106:AE106" si="44">AC46-AC61</f>
        <v>3560299.4615000011</v>
      </c>
      <c r="AD106" s="64">
        <f t="shared" si="44"/>
        <v>-2266940.54</v>
      </c>
      <c r="AE106" s="64">
        <f t="shared" si="44"/>
        <v>5074063.8905309988</v>
      </c>
      <c r="AF106" s="64">
        <f t="shared" si="39"/>
        <v>11234688.614962997</v>
      </c>
      <c r="AG106" s="64">
        <f t="shared" si="39"/>
        <v>27860941.056956001</v>
      </c>
      <c r="AH106" s="64">
        <f t="shared" si="39"/>
        <v>29517250.678544</v>
      </c>
      <c r="AI106" s="64">
        <f t="shared" si="39"/>
        <v>33868954.920091003</v>
      </c>
      <c r="AJ106" s="64">
        <f t="shared" si="39"/>
        <v>25066504.117799997</v>
      </c>
      <c r="AK106" s="64">
        <f t="shared" si="39"/>
        <v>14975550.481277</v>
      </c>
    </row>
    <row r="107" spans="1:37" ht="16.350000000000001" customHeight="1">
      <c r="B107" s="40" t="s">
        <v>115</v>
      </c>
      <c r="C107" s="39" t="s">
        <v>119</v>
      </c>
      <c r="D107" s="39"/>
      <c r="E107" s="64">
        <f t="shared" si="40"/>
        <v>8163872.407800002</v>
      </c>
      <c r="F107" s="64">
        <f t="shared" si="38"/>
        <v>5231647.027999999</v>
      </c>
      <c r="G107" s="64">
        <f t="shared" si="38"/>
        <v>3754226.0370000005</v>
      </c>
      <c r="H107" s="64">
        <f t="shared" si="38"/>
        <v>9990.8813000004739</v>
      </c>
      <c r="I107" s="64">
        <f t="shared" si="38"/>
        <v>4248269.0540000014</v>
      </c>
      <c r="J107" s="64">
        <f t="shared" si="38"/>
        <v>3925137.2749999999</v>
      </c>
      <c r="K107" s="64">
        <f t="shared" si="38"/>
        <v>3753108.0149400006</v>
      </c>
      <c r="L107" s="64">
        <f t="shared" si="38"/>
        <v>4629312.1620000005</v>
      </c>
      <c r="M107" s="64">
        <f t="shared" si="38"/>
        <v>3287258.0379000008</v>
      </c>
      <c r="N107" s="64">
        <f t="shared" si="38"/>
        <v>2169932.4323999989</v>
      </c>
      <c r="O107" s="64">
        <f t="shared" si="38"/>
        <v>5010043.2720000017</v>
      </c>
      <c r="P107" s="64">
        <f t="shared" si="38"/>
        <v>3624083.1090999995</v>
      </c>
      <c r="Q107" s="64">
        <f t="shared" si="38"/>
        <v>5161627.909</v>
      </c>
      <c r="R107" s="64">
        <f t="shared" si="38"/>
        <v>6376031.1696000006</v>
      </c>
      <c r="S107" s="64">
        <f t="shared" si="38"/>
        <v>3932358.9346999996</v>
      </c>
      <c r="T107" s="64">
        <f t="shared" si="38"/>
        <v>2636315.9166000001</v>
      </c>
      <c r="U107" s="64">
        <f t="shared" si="38"/>
        <v>2632729.2966999998</v>
      </c>
      <c r="V107" s="64">
        <f t="shared" si="38"/>
        <v>4615642.3235999998</v>
      </c>
      <c r="W107" s="64">
        <f t="shared" si="38"/>
        <v>4394832.5402230006</v>
      </c>
      <c r="X107" s="64">
        <f t="shared" si="38"/>
        <v>-1389651.4088279996</v>
      </c>
      <c r="Y107" s="64">
        <f t="shared" si="38"/>
        <v>-136437.8749870006</v>
      </c>
      <c r="Z107" s="64">
        <f t="shared" si="38"/>
        <v>3755150.4270200012</v>
      </c>
      <c r="AA107" s="64">
        <f t="shared" si="38"/>
        <v>5576960.4038300011</v>
      </c>
      <c r="AB107" s="64">
        <f t="shared" si="38"/>
        <v>4335314.4236500002</v>
      </c>
      <c r="AC107" s="64">
        <f t="shared" ref="AC107:AE107" si="45">AC47-AC62</f>
        <v>4866267.4124999987</v>
      </c>
      <c r="AD107" s="64">
        <f t="shared" si="45"/>
        <v>3182987.9695330011</v>
      </c>
      <c r="AE107" s="64">
        <f t="shared" si="45"/>
        <v>5224535.0745380009</v>
      </c>
      <c r="AF107" s="64">
        <f t="shared" si="39"/>
        <v>1958723.0906839999</v>
      </c>
      <c r="AG107" s="64">
        <f t="shared" si="39"/>
        <v>2146964.2014909997</v>
      </c>
      <c r="AH107" s="64">
        <f t="shared" si="39"/>
        <v>3793428.4099849998</v>
      </c>
      <c r="AI107" s="64">
        <f t="shared" si="39"/>
        <v>3368655.6174339987</v>
      </c>
      <c r="AJ107" s="64">
        <f t="shared" si="39"/>
        <v>2200321.2227000007</v>
      </c>
      <c r="AK107" s="64">
        <f t="shared" si="39"/>
        <v>472973.51256600022</v>
      </c>
    </row>
    <row r="108" spans="1:37" ht="16.350000000000001" customHeight="1">
      <c r="B108" s="40" t="s">
        <v>116</v>
      </c>
      <c r="C108" s="39" t="s">
        <v>119</v>
      </c>
      <c r="D108" s="39"/>
      <c r="E108" s="64">
        <f t="shared" si="40"/>
        <v>1135310.5250000001</v>
      </c>
      <c r="F108" s="64">
        <f t="shared" si="38"/>
        <v>104209.554</v>
      </c>
      <c r="G108" s="64">
        <f t="shared" si="38"/>
        <v>-136634728.98599997</v>
      </c>
      <c r="H108" s="64">
        <f t="shared" si="38"/>
        <v>1003802.2699999999</v>
      </c>
      <c r="I108" s="64">
        <f t="shared" si="38"/>
        <v>1218278.0699999998</v>
      </c>
      <c r="J108" s="64">
        <f t="shared" si="38"/>
        <v>2573898.9479999999</v>
      </c>
      <c r="K108" s="64">
        <f t="shared" si="38"/>
        <v>3356535.6379999998</v>
      </c>
      <c r="L108" s="64">
        <f t="shared" si="38"/>
        <v>2228465.5360000003</v>
      </c>
      <c r="M108" s="64">
        <f t="shared" si="38"/>
        <v>1098389.9079999998</v>
      </c>
      <c r="N108" s="64">
        <f t="shared" si="38"/>
        <v>655478.11800000002</v>
      </c>
      <c r="O108" s="64">
        <f t="shared" si="38"/>
        <v>536652.23199999984</v>
      </c>
      <c r="P108" s="64">
        <f t="shared" si="38"/>
        <v>895406.98199999996</v>
      </c>
      <c r="Q108" s="64">
        <f t="shared" si="38"/>
        <v>1066196.8050000002</v>
      </c>
      <c r="R108" s="64">
        <f t="shared" si="38"/>
        <v>750523.6398</v>
      </c>
      <c r="S108" s="64">
        <f t="shared" si="38"/>
        <v>705929.1272000001</v>
      </c>
      <c r="T108" s="64">
        <f t="shared" si="38"/>
        <v>1733644.0470999996</v>
      </c>
      <c r="U108" s="64">
        <f t="shared" si="38"/>
        <v>4905618.4269999992</v>
      </c>
      <c r="V108" s="64">
        <f t="shared" si="38"/>
        <v>9033213.4009999987</v>
      </c>
      <c r="W108" s="64">
        <f t="shared" si="38"/>
        <v>11369335.408</v>
      </c>
      <c r="X108" s="64">
        <f t="shared" si="38"/>
        <v>5250384.6099999994</v>
      </c>
      <c r="Y108" s="64">
        <f t="shared" si="38"/>
        <v>3201017.1924999999</v>
      </c>
      <c r="Z108" s="64">
        <f t="shared" si="38"/>
        <v>492616.02629999979</v>
      </c>
      <c r="AA108" s="64">
        <f t="shared" si="38"/>
        <v>642950.17000000016</v>
      </c>
      <c r="AB108" s="64">
        <f t="shared" si="38"/>
        <v>-148792.01850000024</v>
      </c>
      <c r="AC108" s="64">
        <f t="shared" ref="AC108:AE108" si="46">AC48-AC63</f>
        <v>808322.16700000002</v>
      </c>
      <c r="AD108" s="64">
        <f t="shared" si="46"/>
        <v>52781.600000000093</v>
      </c>
      <c r="AE108" s="64">
        <f t="shared" si="46"/>
        <v>1454031.2058245793</v>
      </c>
      <c r="AF108" s="64">
        <f t="shared" si="39"/>
        <v>815222.09199999983</v>
      </c>
      <c r="AG108" s="64">
        <f t="shared" si="39"/>
        <v>889736.44999999984</v>
      </c>
      <c r="AH108" s="64">
        <f t="shared" si="39"/>
        <v>229353.33469999989</v>
      </c>
      <c r="AI108" s="64">
        <f t="shared" si="39"/>
        <v>1222683.6897</v>
      </c>
      <c r="AJ108" s="64">
        <f t="shared" si="39"/>
        <v>303363.8790999999</v>
      </c>
      <c r="AK108" s="64">
        <f t="shared" si="39"/>
        <v>27444.950000000012</v>
      </c>
    </row>
    <row r="109" spans="1:37" ht="16.350000000000001" customHeight="1">
      <c r="B109" s="40" t="s">
        <v>117</v>
      </c>
      <c r="C109" s="39" t="s">
        <v>119</v>
      </c>
      <c r="D109" s="39"/>
      <c r="E109" s="64">
        <f t="shared" si="40"/>
        <v>26184761.219999999</v>
      </c>
      <c r="F109" s="64">
        <f t="shared" si="38"/>
        <v>23323610.340000004</v>
      </c>
      <c r="G109" s="64">
        <f t="shared" si="38"/>
        <v>25028535.920000002</v>
      </c>
      <c r="H109" s="64">
        <f t="shared" si="38"/>
        <v>24155079.960000001</v>
      </c>
      <c r="I109" s="64">
        <f t="shared" si="38"/>
        <v>18912950.099999998</v>
      </c>
      <c r="J109" s="64">
        <f t="shared" si="38"/>
        <v>21507028.940000001</v>
      </c>
      <c r="K109" s="64">
        <f t="shared" si="38"/>
        <v>22713823</v>
      </c>
      <c r="L109" s="64">
        <f t="shared" si="38"/>
        <v>20451563.880000003</v>
      </c>
      <c r="M109" s="64">
        <f t="shared" si="38"/>
        <v>-21105712.669999998</v>
      </c>
      <c r="N109" s="64">
        <f t="shared" si="38"/>
        <v>21418610.940000001</v>
      </c>
      <c r="O109" s="64">
        <f t="shared" si="38"/>
        <v>23424969.239999998</v>
      </c>
      <c r="P109" s="64">
        <f t="shared" si="38"/>
        <v>9270316.7400000021</v>
      </c>
      <c r="Q109" s="64">
        <f t="shared" si="38"/>
        <v>7500489.9599999972</v>
      </c>
      <c r="R109" s="64">
        <f t="shared" si="38"/>
        <v>27989389.800000001</v>
      </c>
      <c r="S109" s="64">
        <f t="shared" si="38"/>
        <v>29780046.239999998</v>
      </c>
      <c r="T109" s="64">
        <f t="shared" si="38"/>
        <v>25909264.789999999</v>
      </c>
      <c r="U109" s="64">
        <f t="shared" si="38"/>
        <v>26063188.664999999</v>
      </c>
      <c r="V109" s="64">
        <f t="shared" si="38"/>
        <v>23513183.149999999</v>
      </c>
      <c r="W109" s="64">
        <f t="shared" si="38"/>
        <v>-58937255.850000001</v>
      </c>
      <c r="X109" s="64">
        <f t="shared" si="38"/>
        <v>27601393.239999998</v>
      </c>
      <c r="Y109" s="64">
        <f t="shared" si="38"/>
        <v>25771543.119999997</v>
      </c>
      <c r="Z109" s="64">
        <f t="shared" si="38"/>
        <v>26945221.509000003</v>
      </c>
      <c r="AA109" s="64">
        <f t="shared" si="38"/>
        <v>27563566.744680002</v>
      </c>
      <c r="AB109" s="64">
        <f t="shared" si="38"/>
        <v>30630615.528999999</v>
      </c>
      <c r="AC109" s="64">
        <f t="shared" ref="AC109:AE109" si="47">AC49-AC64</f>
        <v>28768849.915199995</v>
      </c>
      <c r="AD109" s="64">
        <f t="shared" si="47"/>
        <v>-1399434.5490000024</v>
      </c>
      <c r="AE109" s="64">
        <f t="shared" si="47"/>
        <v>23195091.387400001</v>
      </c>
      <c r="AF109" s="64">
        <f t="shared" si="39"/>
        <v>41245818.608599998</v>
      </c>
      <c r="AG109" s="64">
        <f t="shared" si="39"/>
        <v>33859337.675800003</v>
      </c>
      <c r="AH109" s="64">
        <f t="shared" si="39"/>
        <v>20232047.585199997</v>
      </c>
      <c r="AI109" s="64">
        <f t="shared" si="39"/>
        <v>23051530.649999999</v>
      </c>
      <c r="AJ109" s="64">
        <f t="shared" si="39"/>
        <v>34268513.357800007</v>
      </c>
      <c r="AK109" s="64">
        <f t="shared" si="39"/>
        <v>34160083.684199996</v>
      </c>
    </row>
    <row r="110" spans="1:37" ht="16.350000000000001" customHeight="1">
      <c r="B110" s="40" t="s">
        <v>118</v>
      </c>
      <c r="C110" s="39" t="s">
        <v>119</v>
      </c>
      <c r="D110" s="39"/>
      <c r="E110" s="64">
        <f t="shared" si="40"/>
        <v>408405.19</v>
      </c>
      <c r="F110" s="64">
        <f t="shared" si="38"/>
        <v>302712.53000000003</v>
      </c>
      <c r="G110" s="64">
        <f t="shared" si="38"/>
        <v>209905.42</v>
      </c>
      <c r="H110" s="64">
        <f t="shared" si="38"/>
        <v>181610.8884</v>
      </c>
      <c r="I110" s="64">
        <f t="shared" si="38"/>
        <v>-396851.33</v>
      </c>
      <c r="J110" s="64">
        <f t="shared" si="38"/>
        <v>0</v>
      </c>
      <c r="K110" s="64">
        <f t="shared" si="38"/>
        <v>-400000</v>
      </c>
      <c r="L110" s="64">
        <f t="shared" si="38"/>
        <v>285094.30119999999</v>
      </c>
      <c r="M110" s="64">
        <f t="shared" si="38"/>
        <v>0</v>
      </c>
      <c r="N110" s="64">
        <f t="shared" si="38"/>
        <v>0</v>
      </c>
      <c r="O110" s="64">
        <f t="shared" si="38"/>
        <v>172710.58000000002</v>
      </c>
      <c r="P110" s="64">
        <f t="shared" si="38"/>
        <v>-184575.33000000002</v>
      </c>
      <c r="Q110" s="64">
        <f t="shared" si="38"/>
        <v>404906.92</v>
      </c>
      <c r="R110" s="64">
        <f t="shared" si="38"/>
        <v>-183078.64999999997</v>
      </c>
      <c r="S110" s="64">
        <f t="shared" si="38"/>
        <v>199459.75</v>
      </c>
      <c r="T110" s="64">
        <f t="shared" si="38"/>
        <v>185053.04</v>
      </c>
      <c r="U110" s="64">
        <f t="shared" si="38"/>
        <v>54787.01999999999</v>
      </c>
      <c r="V110" s="64">
        <f t="shared" si="38"/>
        <v>233304.35</v>
      </c>
      <c r="W110" s="64">
        <f t="shared" si="38"/>
        <v>38180.979999999981</v>
      </c>
      <c r="X110" s="64">
        <f t="shared" si="38"/>
        <v>314995.90000000002</v>
      </c>
      <c r="Y110" s="64">
        <f t="shared" si="38"/>
        <v>244162.4</v>
      </c>
      <c r="Z110" s="64">
        <f t="shared" si="38"/>
        <v>238425.15</v>
      </c>
      <c r="AA110" s="64">
        <f t="shared" si="38"/>
        <v>374189.59</v>
      </c>
      <c r="AB110" s="64">
        <f t="shared" si="38"/>
        <v>440019.03</v>
      </c>
      <c r="AC110" s="64">
        <f t="shared" ref="AC110:AE110" si="48">AC50-AC65</f>
        <v>554513.29</v>
      </c>
      <c r="AD110" s="64">
        <f t="shared" si="48"/>
        <v>129193.03000000003</v>
      </c>
      <c r="AE110" s="64">
        <f t="shared" si="48"/>
        <v>58932.210000000021</v>
      </c>
      <c r="AF110" s="64">
        <f t="shared" si="39"/>
        <v>-28609.75</v>
      </c>
      <c r="AG110" s="64">
        <f t="shared" si="39"/>
        <v>-33038.729999999981</v>
      </c>
      <c r="AH110" s="64">
        <f t="shared" si="39"/>
        <v>-2146.9699999999721</v>
      </c>
      <c r="AI110" s="64">
        <f t="shared" si="39"/>
        <v>221380.76</v>
      </c>
      <c r="AJ110" s="64">
        <f t="shared" si="39"/>
        <v>170877.21000000002</v>
      </c>
      <c r="AK110" s="64">
        <f t="shared" si="39"/>
        <v>326304.46000000002</v>
      </c>
    </row>
    <row r="111" spans="1:37" ht="16.350000000000001" customHeight="1">
      <c r="B111" s="40" t="s">
        <v>101</v>
      </c>
      <c r="C111" s="39" t="s">
        <v>119</v>
      </c>
      <c r="D111" s="39"/>
      <c r="E111" s="64">
        <f t="shared" si="40"/>
        <v>0</v>
      </c>
      <c r="F111" s="64">
        <f t="shared" si="38"/>
        <v>0</v>
      </c>
      <c r="G111" s="64">
        <f t="shared" si="38"/>
        <v>0</v>
      </c>
      <c r="H111" s="64">
        <f t="shared" si="38"/>
        <v>0</v>
      </c>
      <c r="I111" s="64">
        <f t="shared" si="38"/>
        <v>-1992096.1599999992</v>
      </c>
      <c r="J111" s="64">
        <f t="shared" si="38"/>
        <v>9230743.8611000013</v>
      </c>
      <c r="K111" s="64">
        <f t="shared" si="38"/>
        <v>-1140670.3700000001</v>
      </c>
      <c r="L111" s="64">
        <f t="shared" si="38"/>
        <v>1906361.1100000003</v>
      </c>
      <c r="M111" s="64">
        <f t="shared" si="38"/>
        <v>6393094.7199999997</v>
      </c>
      <c r="N111" s="64">
        <f t="shared" si="38"/>
        <v>6409927.04</v>
      </c>
      <c r="O111" s="64">
        <f t="shared" si="38"/>
        <v>6731500.1600000001</v>
      </c>
      <c r="P111" s="64">
        <f t="shared" si="38"/>
        <v>4008138.24</v>
      </c>
      <c r="Q111" s="64">
        <f t="shared" si="38"/>
        <v>-2390460.9715200001</v>
      </c>
      <c r="R111" s="64">
        <f t="shared" si="38"/>
        <v>-7768683.8624</v>
      </c>
      <c r="S111" s="64">
        <f t="shared" si="38"/>
        <v>822565.91935999971</v>
      </c>
      <c r="T111" s="64">
        <f t="shared" si="38"/>
        <v>-11050307.85</v>
      </c>
      <c r="U111" s="64">
        <f t="shared" si="38"/>
        <v>7291436.5800000001</v>
      </c>
      <c r="V111" s="64">
        <f t="shared" si="38"/>
        <v>7020912.0800000001</v>
      </c>
      <c r="W111" s="64">
        <f t="shared" si="38"/>
        <v>5485185.4495999999</v>
      </c>
      <c r="X111" s="64">
        <f t="shared" si="38"/>
        <v>7955558.8979200013</v>
      </c>
      <c r="Y111" s="64">
        <f t="shared" si="38"/>
        <v>6113049.54</v>
      </c>
      <c r="Z111" s="64">
        <f t="shared" si="38"/>
        <v>3784290.41</v>
      </c>
      <c r="AA111" s="64">
        <f t="shared" si="38"/>
        <v>-1976053.24404</v>
      </c>
      <c r="AB111" s="64">
        <f t="shared" si="38"/>
        <v>-5855665.04</v>
      </c>
      <c r="AC111" s="64">
        <f t="shared" ref="AC111:AE111" si="49">AC51-AC66</f>
        <v>-117808.55154399999</v>
      </c>
      <c r="AD111" s="64">
        <f t="shared" si="49"/>
        <v>-1373116.4</v>
      </c>
      <c r="AE111" s="64">
        <f t="shared" si="49"/>
        <v>-3987217.63</v>
      </c>
      <c r="AF111" s="64">
        <f t="shared" si="39"/>
        <v>-1090699.92</v>
      </c>
      <c r="AG111" s="64">
        <f t="shared" si="39"/>
        <v>-32326152.449999999</v>
      </c>
      <c r="AH111" s="64">
        <f t="shared" si="39"/>
        <v>1310000.04</v>
      </c>
      <c r="AI111" s="64">
        <f t="shared" si="39"/>
        <v>1721903.6799999997</v>
      </c>
      <c r="AJ111" s="64">
        <f t="shared" si="39"/>
        <v>-385334.59999999963</v>
      </c>
      <c r="AK111" s="64">
        <f t="shared" si="39"/>
        <v>-1410776.6399999997</v>
      </c>
    </row>
    <row r="112" spans="1:37" ht="16.350000000000001" customHeight="1">
      <c r="B112" s="40" t="s">
        <v>86</v>
      </c>
      <c r="C112" s="39" t="s">
        <v>119</v>
      </c>
      <c r="D112" s="39"/>
      <c r="E112" s="64">
        <f t="shared" si="40"/>
        <v>53618927.56309998</v>
      </c>
      <c r="F112" s="64">
        <f t="shared" si="38"/>
        <v>-14011756.038000047</v>
      </c>
      <c r="G112" s="64">
        <f t="shared" si="38"/>
        <v>-18643359.523599997</v>
      </c>
      <c r="H112" s="64">
        <f t="shared" si="38"/>
        <v>-8460193.6478233635</v>
      </c>
      <c r="I112" s="64">
        <f t="shared" si="38"/>
        <v>-11553811.27337499</v>
      </c>
      <c r="J112" s="64">
        <f t="shared" si="38"/>
        <v>4291360.9819000363</v>
      </c>
      <c r="K112" s="64">
        <f t="shared" si="38"/>
        <v>485242.24429999292</v>
      </c>
      <c r="L112" s="64">
        <f t="shared" si="38"/>
        <v>14986785.170399994</v>
      </c>
      <c r="M112" s="64">
        <f t="shared" si="38"/>
        <v>-7435374.7543000132</v>
      </c>
      <c r="N112" s="64">
        <f t="shared" si="38"/>
        <v>9847713.5526000112</v>
      </c>
      <c r="O112" s="64">
        <f t="shared" si="38"/>
        <v>27090559.957100004</v>
      </c>
      <c r="P112" s="64">
        <f t="shared" si="38"/>
        <v>51280130.991900027</v>
      </c>
      <c r="Q112" s="64">
        <f t="shared" si="38"/>
        <v>55898937.363000065</v>
      </c>
      <c r="R112" s="64">
        <f t="shared" si="38"/>
        <v>28061183.995999992</v>
      </c>
      <c r="S112" s="64">
        <f t="shared" si="38"/>
        <v>-6839663.273999989</v>
      </c>
      <c r="T112" s="64">
        <f t="shared" si="38"/>
        <v>-25581338.853</v>
      </c>
      <c r="U112" s="64">
        <f t="shared" si="38"/>
        <v>-15491746.169</v>
      </c>
      <c r="V112" s="64">
        <f t="shared" si="38"/>
        <v>-139673.12799100578</v>
      </c>
      <c r="W112" s="64">
        <f t="shared" si="38"/>
        <v>1951261.3079490215</v>
      </c>
      <c r="X112" s="64">
        <f t="shared" si="38"/>
        <v>-5432275.7630579919</v>
      </c>
      <c r="Y112" s="64">
        <f t="shared" si="38"/>
        <v>-23150662.701088011</v>
      </c>
      <c r="Z112" s="64">
        <f t="shared" si="38"/>
        <v>8104351.2425500005</v>
      </c>
      <c r="AA112" s="64">
        <f t="shared" si="38"/>
        <v>54291521.298600018</v>
      </c>
      <c r="AB112" s="64">
        <f t="shared" si="38"/>
        <v>77888372.476493001</v>
      </c>
      <c r="AC112" s="64">
        <f t="shared" ref="AC112:AE112" si="50">AC52-AC67</f>
        <v>23889123.629260033</v>
      </c>
      <c r="AD112" s="64">
        <f t="shared" si="50"/>
        <v>-10408762.991337985</v>
      </c>
      <c r="AE112" s="64">
        <f t="shared" si="50"/>
        <v>-741829.14715799689</v>
      </c>
      <c r="AF112" s="64">
        <f t="shared" si="39"/>
        <v>-40655515.360439032</v>
      </c>
      <c r="AG112" s="64">
        <f t="shared" si="39"/>
        <v>-16100312.96280399</v>
      </c>
      <c r="AH112" s="64">
        <f t="shared" si="39"/>
        <v>6477701.8155229986</v>
      </c>
      <c r="AI112" s="64">
        <f t="shared" si="39"/>
        <v>16571984.280095011</v>
      </c>
      <c r="AJ112" s="64">
        <f t="shared" si="39"/>
        <v>-18590754.729929984</v>
      </c>
      <c r="AK112" s="64">
        <f t="shared" si="39"/>
        <v>-38165104.194476962</v>
      </c>
    </row>
    <row r="113" spans="1:37" ht="16.350000000000001" customHeight="1">
      <c r="B113" s="40" t="s">
        <v>2</v>
      </c>
      <c r="C113" s="39" t="s">
        <v>119</v>
      </c>
      <c r="D113" s="39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</row>
    <row r="114" spans="1:37" ht="16.350000000000001" customHeight="1">
      <c r="B114" s="41" t="s">
        <v>108</v>
      </c>
      <c r="C114" s="39" t="s">
        <v>119</v>
      </c>
      <c r="D114" s="39"/>
      <c r="E114" s="66">
        <f>SUBTOTAL(9,E102:E112)</f>
        <v>141092396.31627601</v>
      </c>
      <c r="F114" s="66">
        <f t="shared" ref="F114:I114" si="51">SUBTOTAL(9,F102:F112)</f>
        <v>50193522.275999978</v>
      </c>
      <c r="G114" s="66">
        <f t="shared" si="51"/>
        <v>-451247710.16154993</v>
      </c>
      <c r="H114" s="66">
        <f t="shared" si="51"/>
        <v>35224381.988596454</v>
      </c>
      <c r="I114" s="66">
        <f t="shared" si="51"/>
        <v>45868053.918235093</v>
      </c>
      <c r="J114" s="66">
        <f>SUBTOTAL(9,J102:J112)</f>
        <v>50269844.004645005</v>
      </c>
      <c r="K114" s="66">
        <f t="shared" ref="K114:AB114" si="52">SUBTOTAL(9,K102:K112)</f>
        <v>66751200.671765037</v>
      </c>
      <c r="L114" s="66">
        <f t="shared" si="52"/>
        <v>77584532.747310057</v>
      </c>
      <c r="M114" s="66">
        <f t="shared" si="52"/>
        <v>-9902161.1938690022</v>
      </c>
      <c r="N114" s="66">
        <f t="shared" si="52"/>
        <v>51218567.309325062</v>
      </c>
      <c r="O114" s="66">
        <f t="shared" si="52"/>
        <v>86730924.803605035</v>
      </c>
      <c r="P114" s="66">
        <f t="shared" si="52"/>
        <v>13667300.200320117</v>
      </c>
      <c r="Q114" s="66">
        <f t="shared" si="52"/>
        <v>129812260.16834213</v>
      </c>
      <c r="R114" s="66">
        <f t="shared" si="52"/>
        <v>45038429.892526016</v>
      </c>
      <c r="S114" s="66">
        <f t="shared" si="52"/>
        <v>33705417.202336028</v>
      </c>
      <c r="T114" s="66">
        <f t="shared" si="52"/>
        <v>10003897.940050006</v>
      </c>
      <c r="U114" s="66">
        <f t="shared" si="52"/>
        <v>54068078.024300069</v>
      </c>
      <c r="V114" s="66">
        <f t="shared" si="52"/>
        <v>70482404.626342967</v>
      </c>
      <c r="W114" s="66">
        <f t="shared" si="52"/>
        <v>-21458980.031963967</v>
      </c>
      <c r="X114" s="66">
        <f t="shared" si="52"/>
        <v>64795218.59213993</v>
      </c>
      <c r="Y114" s="66">
        <f t="shared" si="52"/>
        <v>2101123.7930764072</v>
      </c>
      <c r="Z114" s="66">
        <f t="shared" si="52"/>
        <v>59732774.107988015</v>
      </c>
      <c r="AA114" s="66">
        <f t="shared" si="52"/>
        <v>103010244.18377408</v>
      </c>
      <c r="AB114" s="66">
        <f t="shared" si="52"/>
        <v>90654614.55344604</v>
      </c>
      <c r="AC114" s="66">
        <f t="shared" ref="AC114:AJ114" si="53">SUBTOTAL(9,AC102:AC112)</f>
        <v>95335036.291037351</v>
      </c>
      <c r="AD114" s="66">
        <f t="shared" si="53"/>
        <v>25486257.323946916</v>
      </c>
      <c r="AE114" s="66">
        <f t="shared" si="53"/>
        <v>61129548.541051455</v>
      </c>
      <c r="AF114" s="66">
        <f t="shared" si="53"/>
        <v>32997446.054162905</v>
      </c>
      <c r="AG114" s="66">
        <f t="shared" si="53"/>
        <v>50631187.51778698</v>
      </c>
      <c r="AH114" s="66">
        <f t="shared" si="53"/>
        <v>76328972.573350742</v>
      </c>
      <c r="AI114" s="66">
        <f t="shared" si="53"/>
        <v>121872185.12392589</v>
      </c>
      <c r="AJ114" s="66">
        <f t="shared" si="53"/>
        <v>61086339.978789121</v>
      </c>
      <c r="AK114" s="66">
        <f>SUBTOTAL(9,AK102:AK112)</f>
        <v>-4312900.988006942</v>
      </c>
    </row>
    <row r="115" spans="1:37" s="82" customFormat="1" ht="15.75" customHeight="1" thickBot="1">
      <c r="A115" s="78" t="s">
        <v>127</v>
      </c>
      <c r="B115" s="79"/>
      <c r="C115" s="79" t="s">
        <v>20</v>
      </c>
      <c r="D115" s="79" t="s">
        <v>21</v>
      </c>
      <c r="E115" s="80" t="s">
        <v>16</v>
      </c>
      <c r="F115" s="81" t="s">
        <v>17</v>
      </c>
      <c r="G115" s="80" t="s">
        <v>18</v>
      </c>
      <c r="H115" s="81" t="s">
        <v>19</v>
      </c>
      <c r="I115" s="80" t="s">
        <v>73</v>
      </c>
      <c r="J115" s="81" t="s">
        <v>74</v>
      </c>
      <c r="K115" s="80" t="s">
        <v>71</v>
      </c>
      <c r="L115" s="80" t="s">
        <v>72</v>
      </c>
      <c r="M115" s="1" t="s">
        <v>158</v>
      </c>
      <c r="AC115" s="19"/>
      <c r="AD115" s="19"/>
      <c r="AE115" s="19"/>
    </row>
    <row r="116" spans="1:37" s="83" customFormat="1" ht="16.350000000000001" customHeight="1">
      <c r="B116" s="84" t="s">
        <v>128</v>
      </c>
      <c r="C116" s="85" t="s">
        <v>65</v>
      </c>
      <c r="D116" s="85"/>
      <c r="E116" s="90">
        <v>562.22500000000002</v>
      </c>
      <c r="F116" s="90">
        <v>275.572</v>
      </c>
      <c r="G116" s="90">
        <v>297.63099999999997</v>
      </c>
      <c r="H116" s="90">
        <v>351.745</v>
      </c>
      <c r="I116" s="90">
        <v>417.01499999999999</v>
      </c>
      <c r="J116" s="90">
        <v>492.5</v>
      </c>
      <c r="K116" s="90">
        <v>486.93700000000001</v>
      </c>
      <c r="L116" s="90">
        <v>571.57600000000002</v>
      </c>
      <c r="M116" s="90">
        <v>622.6</v>
      </c>
      <c r="O116" s="90"/>
    </row>
    <row r="117" spans="1:37" s="83" customFormat="1" ht="16.350000000000001" customHeight="1">
      <c r="B117" s="86" t="s">
        <v>129</v>
      </c>
      <c r="C117" s="85" t="s">
        <v>65</v>
      </c>
      <c r="D117" s="85"/>
      <c r="E117" s="90">
        <v>37.438000000000002</v>
      </c>
      <c r="F117" s="90">
        <v>38.133000000000003</v>
      </c>
      <c r="G117" s="90">
        <v>38.829000000000001</v>
      </c>
      <c r="H117" s="90">
        <v>39.533999999999999</v>
      </c>
      <c r="I117" s="90">
        <v>40.716000000000001</v>
      </c>
      <c r="J117" s="90">
        <v>41.276000000000003</v>
      </c>
      <c r="K117" s="90">
        <v>41.856999999999999</v>
      </c>
      <c r="L117" s="90">
        <v>43.055999999999997</v>
      </c>
      <c r="M117" s="90">
        <v>44.44</v>
      </c>
      <c r="O117" s="90"/>
    </row>
    <row r="118" spans="1:37" s="83" customFormat="1" ht="16.350000000000001" customHeight="1">
      <c r="B118" s="84" t="s">
        <v>130</v>
      </c>
      <c r="C118" s="85" t="s">
        <v>65</v>
      </c>
      <c r="D118" s="85"/>
      <c r="E118" s="90"/>
      <c r="F118" s="90">
        <v>7.6340000000000003</v>
      </c>
      <c r="G118" s="90">
        <v>14.792</v>
      </c>
      <c r="H118" s="90">
        <v>31.942</v>
      </c>
      <c r="I118" s="90">
        <v>22.606000000000002</v>
      </c>
      <c r="J118" s="90">
        <v>25.867000000000001</v>
      </c>
      <c r="K118" s="90">
        <v>45.418999999999997</v>
      </c>
      <c r="L118" s="90">
        <v>41.372</v>
      </c>
      <c r="M118" s="90">
        <v>35.869999999999997</v>
      </c>
      <c r="O118" s="90"/>
    </row>
    <row r="119" spans="1:37" s="83" customFormat="1" ht="16.350000000000001" customHeight="1">
      <c r="B119" s="87" t="s">
        <v>131</v>
      </c>
      <c r="C119" s="85" t="s">
        <v>65</v>
      </c>
      <c r="D119" s="88"/>
      <c r="E119" s="90">
        <v>20.934999999999999</v>
      </c>
      <c r="F119" s="90">
        <v>31.783999999999999</v>
      </c>
      <c r="G119" s="90">
        <v>42.53</v>
      </c>
      <c r="H119" s="90">
        <v>6.2629999999999999</v>
      </c>
      <c r="I119" s="90">
        <v>28.552</v>
      </c>
      <c r="J119" s="90">
        <v>36.765999999999998</v>
      </c>
      <c r="K119" s="90">
        <v>48.843000000000004</v>
      </c>
      <c r="L119" s="90">
        <v>14.337</v>
      </c>
      <c r="M119" s="90">
        <v>37.6</v>
      </c>
      <c r="O119" s="90"/>
    </row>
    <row r="120" spans="1:37" s="83" customFormat="1" ht="16.350000000000001" customHeight="1">
      <c r="B120" s="84" t="s">
        <v>132</v>
      </c>
      <c r="C120" s="85" t="s">
        <v>65</v>
      </c>
      <c r="D120" s="89"/>
      <c r="E120" s="90">
        <v>6.8639999999999999</v>
      </c>
      <c r="F120" s="90">
        <v>6.87</v>
      </c>
      <c r="G120" s="90">
        <v>6.82</v>
      </c>
      <c r="H120" s="90">
        <v>6.83</v>
      </c>
      <c r="I120" s="90">
        <v>6.8470000000000004</v>
      </c>
      <c r="J120" s="90">
        <v>6.8540000000000001</v>
      </c>
      <c r="K120" s="90">
        <v>6.8579999999999997</v>
      </c>
      <c r="L120" s="90">
        <v>6.8710000000000004</v>
      </c>
      <c r="M120" s="90">
        <v>6.9</v>
      </c>
      <c r="O120" s="90"/>
    </row>
    <row r="121" spans="1:37" s="83" customFormat="1" ht="16.350000000000001" customHeight="1">
      <c r="B121" s="87" t="s">
        <v>133</v>
      </c>
      <c r="C121" s="85" t="s">
        <v>65</v>
      </c>
      <c r="D121" s="85"/>
      <c r="E121" s="90">
        <v>2.3610000000000002</v>
      </c>
      <c r="F121" s="90">
        <v>2.3610000000000002</v>
      </c>
      <c r="G121" s="90">
        <v>2.3610000000000002</v>
      </c>
      <c r="H121" s="90">
        <v>2.3610000000000002</v>
      </c>
      <c r="I121" s="90">
        <v>2.3610000000000002</v>
      </c>
      <c r="J121" s="90">
        <v>2.3610000000000002</v>
      </c>
      <c r="K121" s="90">
        <v>2.3610000000000002</v>
      </c>
      <c r="L121" s="90">
        <v>2.3610000000000002</v>
      </c>
      <c r="M121" s="90">
        <v>2.4</v>
      </c>
      <c r="O121" s="90"/>
    </row>
    <row r="122" spans="1:37" s="83" customFormat="1" ht="16.350000000000001" customHeight="1">
      <c r="B122" s="84" t="s">
        <v>134</v>
      </c>
      <c r="C122" s="85" t="s">
        <v>65</v>
      </c>
      <c r="D122" s="85"/>
      <c r="E122" s="90">
        <v>3.2709999999999999</v>
      </c>
      <c r="F122" s="90">
        <v>3.3330000000000002</v>
      </c>
      <c r="G122" s="90">
        <v>3.43</v>
      </c>
      <c r="H122" s="90">
        <v>3.4119999999999999</v>
      </c>
      <c r="I122" s="90">
        <v>3.528</v>
      </c>
      <c r="J122" s="90">
        <v>3.516</v>
      </c>
      <c r="K122" s="90">
        <v>3.456</v>
      </c>
      <c r="L122" s="90">
        <v>3.4489999999999998</v>
      </c>
      <c r="M122" s="90">
        <v>3.5</v>
      </c>
      <c r="O122" s="90"/>
    </row>
    <row r="123" spans="1:37" s="83" customFormat="1" ht="16.350000000000001" customHeight="1">
      <c r="B123" s="84" t="s">
        <v>135</v>
      </c>
      <c r="C123" s="85" t="s">
        <v>65</v>
      </c>
      <c r="D123" s="85"/>
      <c r="E123" s="90">
        <v>1.1040000000000001</v>
      </c>
      <c r="F123" s="90">
        <v>1.111</v>
      </c>
      <c r="G123" s="90">
        <v>1.0840000000000001</v>
      </c>
      <c r="H123" s="90">
        <v>1.111</v>
      </c>
      <c r="I123" s="90">
        <v>1.127</v>
      </c>
      <c r="J123" s="90">
        <v>1.109</v>
      </c>
      <c r="K123" s="90">
        <v>1.08</v>
      </c>
      <c r="L123" s="90">
        <v>1.117</v>
      </c>
      <c r="M123" s="90">
        <v>1.2</v>
      </c>
      <c r="O123" s="90"/>
    </row>
    <row r="124" spans="1:37" s="83" customFormat="1" ht="16.350000000000001" customHeight="1">
      <c r="B124" s="84" t="s">
        <v>136</v>
      </c>
      <c r="C124" s="85" t="s">
        <v>65</v>
      </c>
      <c r="D124" s="85"/>
      <c r="E124" s="90">
        <v>2.7730000000000001</v>
      </c>
      <c r="F124" s="90">
        <v>2.7730000000000001</v>
      </c>
      <c r="G124" s="90">
        <v>2.7730000000000001</v>
      </c>
      <c r="H124" s="90">
        <v>2.7730000000000001</v>
      </c>
      <c r="I124" s="90">
        <v>2.7730000000000001</v>
      </c>
      <c r="J124" s="90">
        <v>2.7730000000000001</v>
      </c>
      <c r="K124" s="90">
        <v>2.7730000000000001</v>
      </c>
      <c r="L124" s="90">
        <v>2.7730000000000001</v>
      </c>
      <c r="M124" s="90">
        <v>2.8</v>
      </c>
      <c r="O124" s="90"/>
    </row>
    <row r="125" spans="1:37" s="83" customFormat="1" ht="27" customHeight="1">
      <c r="B125" s="84" t="s">
        <v>137</v>
      </c>
      <c r="C125" s="85" t="s">
        <v>65</v>
      </c>
      <c r="D125" s="85"/>
      <c r="E125" s="90">
        <v>6.5069999999999997</v>
      </c>
      <c r="F125" s="90">
        <v>6.4240000000000004</v>
      </c>
      <c r="G125" s="90">
        <v>2.6440000000000001</v>
      </c>
      <c r="H125" s="90">
        <v>4.4039999999999999</v>
      </c>
      <c r="I125" s="90">
        <v>6.2009999999999996</v>
      </c>
      <c r="J125" s="90">
        <v>6.2910000000000004</v>
      </c>
      <c r="K125" s="90">
        <v>5.7370000000000001</v>
      </c>
      <c r="L125" s="90">
        <v>7.5490000000000004</v>
      </c>
      <c r="M125" s="90">
        <v>7.3</v>
      </c>
      <c r="O125" s="90"/>
    </row>
    <row r="126" spans="1:37" s="83" customFormat="1" ht="26.25" customHeight="1">
      <c r="B126" s="84" t="s">
        <v>138</v>
      </c>
      <c r="C126" s="85" t="s">
        <v>65</v>
      </c>
      <c r="D126" s="85"/>
      <c r="E126" s="90">
        <v>3.7280000000000002</v>
      </c>
      <c r="F126" s="90">
        <v>4.5380000000000003</v>
      </c>
      <c r="G126" s="90">
        <v>3.0630000000000002</v>
      </c>
      <c r="H126" s="90">
        <v>3.1589999999999998</v>
      </c>
      <c r="I126" s="90">
        <v>3.944</v>
      </c>
      <c r="J126" s="90">
        <v>4.4820000000000002</v>
      </c>
      <c r="K126" s="90">
        <v>5.0999999999999996</v>
      </c>
      <c r="L126" s="90">
        <v>5.3719999999999999</v>
      </c>
      <c r="M126" s="90">
        <v>5.8</v>
      </c>
      <c r="O126" s="90"/>
    </row>
    <row r="127" spans="1:37" s="83" customFormat="1" ht="16.350000000000001" customHeight="1">
      <c r="B127" s="84" t="s">
        <v>139</v>
      </c>
      <c r="C127" s="85" t="s">
        <v>65</v>
      </c>
      <c r="D127" s="85"/>
      <c r="E127" s="90">
        <v>22.497</v>
      </c>
      <c r="F127" s="90">
        <v>10.742000000000001</v>
      </c>
      <c r="G127" s="90">
        <v>23.09</v>
      </c>
      <c r="H127" s="90">
        <v>1.873</v>
      </c>
      <c r="I127" s="90">
        <v>1</v>
      </c>
      <c r="J127" s="90">
        <v>1.5629999999999999</v>
      </c>
      <c r="K127" s="90">
        <v>9.9879999999999995</v>
      </c>
      <c r="L127" s="90">
        <v>0.45800000000000002</v>
      </c>
      <c r="M127" s="90"/>
      <c r="O127" s="90"/>
    </row>
    <row r="128" spans="1:37" s="83" customFormat="1" ht="16.350000000000001" customHeight="1">
      <c r="B128" s="84" t="s">
        <v>140</v>
      </c>
      <c r="C128" s="85" t="s">
        <v>65</v>
      </c>
      <c r="D128" s="85"/>
      <c r="E128" s="90">
        <v>89.563000000000002</v>
      </c>
      <c r="F128" s="90">
        <v>90.325000000000003</v>
      </c>
      <c r="G128" s="90">
        <v>99.116</v>
      </c>
      <c r="H128" s="90">
        <v>17.792999999999999</v>
      </c>
      <c r="I128" s="90">
        <v>109.85899999999999</v>
      </c>
      <c r="J128" s="90">
        <v>113.255</v>
      </c>
      <c r="K128" s="90">
        <v>107.297</v>
      </c>
      <c r="L128" s="90">
        <v>106.90900000000001</v>
      </c>
      <c r="M128" s="90">
        <v>117.7</v>
      </c>
      <c r="O128" s="90"/>
    </row>
    <row r="129" spans="2:15" s="83" customFormat="1" ht="18" customHeight="1">
      <c r="B129" s="84" t="s">
        <v>141</v>
      </c>
      <c r="C129" s="85" t="s">
        <v>65</v>
      </c>
      <c r="D129" s="85"/>
      <c r="E129" s="90">
        <v>8.8829999999999991</v>
      </c>
      <c r="F129" s="90">
        <v>49.953000000000003</v>
      </c>
      <c r="G129" s="90">
        <v>103.06399999999999</v>
      </c>
      <c r="H129" s="90">
        <v>99.447999999999993</v>
      </c>
      <c r="I129" s="90">
        <v>97.903000000000006</v>
      </c>
      <c r="J129" s="90">
        <v>134.29</v>
      </c>
      <c r="K129" s="90">
        <v>181.33</v>
      </c>
      <c r="L129" s="90">
        <v>189.49700000000001</v>
      </c>
      <c r="M129" s="90">
        <v>186.7</v>
      </c>
      <c r="O129" s="90"/>
    </row>
    <row r="130" spans="2:15" s="83" customFormat="1" ht="16.350000000000001" customHeight="1">
      <c r="B130" s="84" t="s">
        <v>142</v>
      </c>
      <c r="C130" s="85" t="s">
        <v>65</v>
      </c>
      <c r="D130" s="85"/>
      <c r="E130" s="90">
        <v>221.88200000000001</v>
      </c>
      <c r="F130" s="90">
        <v>218.703</v>
      </c>
      <c r="G130" s="90">
        <v>220.351</v>
      </c>
      <c r="H130" s="90">
        <v>224.697</v>
      </c>
      <c r="I130" s="90">
        <v>221.27799999999999</v>
      </c>
      <c r="J130" s="90">
        <v>228.017</v>
      </c>
      <c r="K130" s="90">
        <v>233.184</v>
      </c>
      <c r="L130" s="90">
        <v>227.21700000000001</v>
      </c>
      <c r="M130" s="90">
        <v>234.4</v>
      </c>
      <c r="O130" s="90"/>
    </row>
    <row r="131" spans="2:15" s="83" customFormat="1" ht="16.350000000000001" customHeight="1">
      <c r="B131" s="84" t="s">
        <v>143</v>
      </c>
      <c r="C131" s="85" t="s">
        <v>65</v>
      </c>
      <c r="D131" s="85"/>
      <c r="E131" s="90">
        <v>88.414000000000001</v>
      </c>
      <c r="F131" s="90">
        <v>83.727000000000004</v>
      </c>
      <c r="G131" s="90">
        <v>84.528000000000006</v>
      </c>
      <c r="H131" s="90">
        <v>83.269000000000005</v>
      </c>
      <c r="I131" s="90">
        <v>90</v>
      </c>
      <c r="J131" s="90">
        <v>87.2</v>
      </c>
      <c r="K131" s="90">
        <v>84.629000000000005</v>
      </c>
      <c r="L131" s="90">
        <v>71.415999999999997</v>
      </c>
      <c r="M131" s="90">
        <v>101.3</v>
      </c>
      <c r="O131" s="90"/>
    </row>
    <row r="132" spans="2:15" s="83" customFormat="1" ht="15.75" customHeight="1">
      <c r="B132" s="84" t="s">
        <v>144</v>
      </c>
      <c r="C132" s="85" t="s">
        <v>65</v>
      </c>
      <c r="D132" s="85"/>
      <c r="E132" s="90">
        <v>259.01299999999998</v>
      </c>
      <c r="F132" s="90">
        <v>267.48700000000002</v>
      </c>
      <c r="G132" s="90">
        <v>263.34500000000003</v>
      </c>
      <c r="H132" s="90">
        <v>291.88</v>
      </c>
      <c r="I132" s="90">
        <v>303.23599999999999</v>
      </c>
      <c r="J132" s="90">
        <v>311.65699999999998</v>
      </c>
      <c r="K132" s="90">
        <v>298.15899999999999</v>
      </c>
      <c r="L132" s="90">
        <v>323.13799999999998</v>
      </c>
      <c r="M132" s="90">
        <v>339</v>
      </c>
      <c r="O132" s="90"/>
    </row>
    <row r="133" spans="2:15" s="83" customFormat="1" ht="16.350000000000001" customHeight="1">
      <c r="B133" s="84" t="s">
        <v>145</v>
      </c>
      <c r="C133" s="85" t="s">
        <v>65</v>
      </c>
      <c r="D133" s="85"/>
      <c r="E133" s="90">
        <v>1526.163</v>
      </c>
      <c r="F133" s="90">
        <v>1496.49</v>
      </c>
      <c r="G133" s="90">
        <v>1504.904</v>
      </c>
      <c r="H133" s="90">
        <v>1590.598</v>
      </c>
      <c r="I133" s="90">
        <v>1667.768</v>
      </c>
      <c r="J133" s="90">
        <v>1626.4459999999999</v>
      </c>
      <c r="K133" s="90">
        <v>1594.729</v>
      </c>
      <c r="L133" s="90">
        <v>1739.433</v>
      </c>
      <c r="M133" s="90">
        <v>1751.2</v>
      </c>
      <c r="O133" s="90"/>
    </row>
    <row r="134" spans="2:15" s="83" customFormat="1" ht="16.350000000000001" customHeight="1">
      <c r="B134" s="84" t="s">
        <v>146</v>
      </c>
      <c r="C134" s="85" t="s">
        <v>65</v>
      </c>
      <c r="D134" s="85"/>
      <c r="E134" s="90">
        <v>1.98</v>
      </c>
      <c r="F134" s="90">
        <v>1.7649999999999999</v>
      </c>
      <c r="G134" s="90">
        <v>1.65</v>
      </c>
      <c r="H134" s="90">
        <v>1.6379999999999999</v>
      </c>
      <c r="I134" s="90">
        <v>4.109</v>
      </c>
      <c r="J134" s="90">
        <v>4.5819999999999999</v>
      </c>
      <c r="K134" s="90">
        <v>5.18</v>
      </c>
      <c r="L134" s="90">
        <v>4.2519999999999998</v>
      </c>
      <c r="M134" s="90">
        <v>5</v>
      </c>
      <c r="O134" s="90"/>
    </row>
    <row r="135" spans="2:15">
      <c r="C135" s="39"/>
      <c r="D135" s="39"/>
    </row>
    <row r="136" spans="2:15">
      <c r="C136" s="39"/>
      <c r="D136" s="39"/>
    </row>
    <row r="137" spans="2:15">
      <c r="C137" s="39"/>
      <c r="D137" s="39"/>
    </row>
    <row r="138" spans="2:15" ht="13.15">
      <c r="C138" s="37"/>
      <c r="D138" s="37"/>
    </row>
    <row r="139" spans="2:15">
      <c r="C139" s="39"/>
      <c r="D139" s="39"/>
    </row>
    <row r="140" spans="2:15">
      <c r="C140" s="39"/>
      <c r="D140" s="39"/>
    </row>
    <row r="141" spans="2:15">
      <c r="C141" s="39"/>
      <c r="D141" s="39"/>
    </row>
    <row r="142" spans="2:15">
      <c r="C142" s="39"/>
      <c r="D142" s="39"/>
    </row>
    <row r="143" spans="2:15">
      <c r="C143" s="39"/>
      <c r="D143" s="39"/>
    </row>
    <row r="144" spans="2:15">
      <c r="C144" s="39"/>
      <c r="D144" s="39"/>
    </row>
    <row r="145" spans="3:4">
      <c r="C145" s="18"/>
      <c r="D145" s="18"/>
    </row>
    <row r="146" spans="3:4" ht="13.15">
      <c r="C146" s="37"/>
      <c r="D146" s="37"/>
    </row>
    <row r="147" spans="3:4">
      <c r="C147" s="39"/>
      <c r="D147" s="39"/>
    </row>
    <row r="148" spans="3:4">
      <c r="C148" s="39"/>
      <c r="D148" s="39"/>
    </row>
    <row r="149" spans="3:4">
      <c r="C149" s="39"/>
      <c r="D149" s="39"/>
    </row>
    <row r="150" spans="3:4">
      <c r="C150" s="39"/>
      <c r="D150" s="39"/>
    </row>
    <row r="151" spans="3:4">
      <c r="C151" s="39"/>
      <c r="D151" s="39"/>
    </row>
    <row r="152" spans="3:4">
      <c r="C152" s="39"/>
      <c r="D152" s="39"/>
    </row>
    <row r="153" spans="3:4">
      <c r="C153" s="39"/>
      <c r="D153" s="39"/>
    </row>
    <row r="154" spans="3:4">
      <c r="C154" s="39"/>
      <c r="D154" s="39"/>
    </row>
    <row r="155" spans="3:4">
      <c r="C155" s="39"/>
      <c r="D155" s="39"/>
    </row>
    <row r="156" spans="3:4" ht="13.15">
      <c r="C156" s="42"/>
      <c r="D156" s="42"/>
    </row>
    <row r="157" spans="3:4">
      <c r="C157" s="18"/>
      <c r="D157" s="18"/>
    </row>
    <row r="158" spans="3:4" ht="13.15">
      <c r="C158" s="37"/>
      <c r="D158" s="37"/>
    </row>
    <row r="159" spans="3:4">
      <c r="C159" s="39"/>
      <c r="D159" s="39"/>
    </row>
    <row r="160" spans="3:4">
      <c r="C160" s="39"/>
      <c r="D160" s="39"/>
    </row>
    <row r="161" spans="3:4">
      <c r="C161" s="39"/>
      <c r="D161" s="39"/>
    </row>
    <row r="162" spans="3:4">
      <c r="C162" s="39"/>
      <c r="D162" s="39"/>
    </row>
    <row r="163" spans="3:4">
      <c r="C163" s="39"/>
      <c r="D163" s="39"/>
    </row>
    <row r="164" spans="3:4">
      <c r="C164" s="39"/>
      <c r="D164" s="39"/>
    </row>
    <row r="165" spans="3:4">
      <c r="C165" s="39"/>
      <c r="D165" s="39"/>
    </row>
    <row r="166" spans="3:4">
      <c r="C166" s="39"/>
      <c r="D166" s="39"/>
    </row>
    <row r="167" spans="3:4">
      <c r="C167" s="39"/>
      <c r="D167" s="39"/>
    </row>
    <row r="168" spans="3:4" ht="13.15">
      <c r="C168" s="42"/>
      <c r="D168" s="42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79998168889431442"/>
  </sheetPr>
  <dimension ref="A1:P121"/>
  <sheetViews>
    <sheetView topLeftCell="A49" zoomScaleNormal="100" workbookViewId="0">
      <selection activeCell="H64" sqref="H64"/>
    </sheetView>
  </sheetViews>
  <sheetFormatPr defaultColWidth="8" defaultRowHeight="12.75"/>
  <cols>
    <col min="1" max="1" width="8" style="7"/>
    <col min="2" max="2" width="39.73046875" style="15" customWidth="1"/>
    <col min="3" max="4" width="7.73046875" style="16" customWidth="1"/>
    <col min="5" max="5" width="8.59765625" style="7" customWidth="1"/>
    <col min="6" max="9" width="16.3984375" style="55" customWidth="1"/>
    <col min="10" max="14" width="8" style="7"/>
    <col min="15" max="15" width="10.73046875" style="7" bestFit="1" customWidth="1"/>
    <col min="16" max="16384" width="8" style="7"/>
  </cols>
  <sheetData>
    <row r="1" spans="1:9" s="6" customFormat="1" ht="15.4" thickBot="1">
      <c r="A1" s="3" t="s">
        <v>6</v>
      </c>
      <c r="B1" s="4"/>
      <c r="C1" s="5" t="s">
        <v>20</v>
      </c>
      <c r="D1" s="5" t="s">
        <v>21</v>
      </c>
      <c r="E1" s="2">
        <v>2020</v>
      </c>
      <c r="F1" s="58">
        <v>2021</v>
      </c>
      <c r="G1" s="59">
        <v>2022</v>
      </c>
      <c r="H1" s="58">
        <v>2023</v>
      </c>
      <c r="I1" s="59">
        <v>2024</v>
      </c>
    </row>
    <row r="2" spans="1:9" ht="14.25">
      <c r="B2" s="8" t="s">
        <v>98</v>
      </c>
      <c r="C2" s="9" t="s">
        <v>65</v>
      </c>
      <c r="D2" s="9"/>
      <c r="E2" s="33"/>
      <c r="F2" s="62">
        <v>2665.88</v>
      </c>
      <c r="G2" s="62">
        <v>3145.5059999999999</v>
      </c>
      <c r="H2" s="62">
        <v>3752.1669999999999</v>
      </c>
      <c r="I2" s="62">
        <v>4889.5290000000005</v>
      </c>
    </row>
    <row r="3" spans="1:9" ht="14.25">
      <c r="B3" s="11" t="s">
        <v>99</v>
      </c>
      <c r="C3" s="9" t="s">
        <v>65</v>
      </c>
      <c r="D3" s="9"/>
      <c r="E3" s="33"/>
      <c r="F3" s="62">
        <v>-2242.6260000000002</v>
      </c>
      <c r="G3" s="62">
        <v>-2578.558</v>
      </c>
      <c r="H3" s="62">
        <v>-2928.9609999999998</v>
      </c>
      <c r="I3" s="62">
        <v>-3183.76</v>
      </c>
    </row>
    <row r="4" spans="1:9" ht="14.25">
      <c r="B4" s="45" t="s">
        <v>12</v>
      </c>
      <c r="C4" s="9" t="s">
        <v>65</v>
      </c>
      <c r="D4" s="9"/>
      <c r="E4" s="33"/>
      <c r="F4" s="62">
        <f>SUM(F2:F3)</f>
        <v>423.25399999999991</v>
      </c>
      <c r="G4" s="62">
        <f t="shared" ref="G4:I4" si="0">SUM(G2:G3)</f>
        <v>566.94799999999987</v>
      </c>
      <c r="H4" s="62">
        <f t="shared" si="0"/>
        <v>823.20600000000013</v>
      </c>
      <c r="I4" s="62">
        <f t="shared" si="0"/>
        <v>1705.7690000000002</v>
      </c>
    </row>
    <row r="5" spans="1:9" ht="14.25">
      <c r="B5" s="11" t="s">
        <v>7</v>
      </c>
      <c r="C5" s="9" t="s">
        <v>65</v>
      </c>
      <c r="D5" s="9"/>
      <c r="E5" s="33"/>
      <c r="F5" s="62"/>
      <c r="G5" s="62"/>
      <c r="H5" s="62"/>
      <c r="I5" s="62"/>
    </row>
    <row r="6" spans="1:9" ht="14.25">
      <c r="B6" s="11" t="s">
        <v>99</v>
      </c>
      <c r="C6" s="9" t="s">
        <v>65</v>
      </c>
      <c r="D6" s="9"/>
      <c r="E6" s="33"/>
      <c r="F6" s="62">
        <v>-773.327</v>
      </c>
      <c r="G6" s="62">
        <v>-974</v>
      </c>
      <c r="H6" s="62">
        <v>-643.59900000000005</v>
      </c>
      <c r="I6" s="62">
        <v>-1024.6099999999999</v>
      </c>
    </row>
    <row r="7" spans="1:9" ht="14.25">
      <c r="B7" s="11" t="s">
        <v>10</v>
      </c>
      <c r="C7" s="9" t="s">
        <v>65</v>
      </c>
      <c r="D7" s="9"/>
      <c r="E7" s="33"/>
      <c r="F7" s="62"/>
      <c r="G7" s="62"/>
      <c r="H7" s="62"/>
      <c r="I7" s="62"/>
    </row>
    <row r="8" spans="1:9" ht="14.25">
      <c r="B8" s="45" t="s">
        <v>13</v>
      </c>
      <c r="C8" s="9" t="s">
        <v>65</v>
      </c>
      <c r="D8" s="9"/>
      <c r="E8" s="33"/>
      <c r="F8" s="62">
        <f>SUM(F4:F7)</f>
        <v>-350.07300000000009</v>
      </c>
      <c r="G8" s="62">
        <f t="shared" ref="G8:I8" si="1">SUM(G4:G7)</f>
        <v>-407.05200000000013</v>
      </c>
      <c r="H8" s="62">
        <f t="shared" si="1"/>
        <v>179.60700000000008</v>
      </c>
      <c r="I8" s="62">
        <f t="shared" si="1"/>
        <v>681.15900000000033</v>
      </c>
    </row>
    <row r="9" spans="1:9" ht="14.25">
      <c r="B9" s="11" t="s">
        <v>8</v>
      </c>
      <c r="C9" s="9" t="s">
        <v>65</v>
      </c>
      <c r="D9" s="9"/>
      <c r="E9" s="33"/>
      <c r="F9" s="62">
        <v>-227.72300000000001</v>
      </c>
      <c r="G9" s="62">
        <v>-202.60499999999999</v>
      </c>
      <c r="H9" s="62">
        <v>-190.51599999999999</v>
      </c>
      <c r="I9" s="62">
        <v>-171.72399999999999</v>
      </c>
    </row>
    <row r="10" spans="1:9" ht="14.25">
      <c r="B10" s="45" t="s">
        <v>15</v>
      </c>
      <c r="C10" s="9" t="s">
        <v>65</v>
      </c>
      <c r="D10" s="46"/>
      <c r="E10" s="33"/>
      <c r="F10" s="62">
        <f>SUM(F8:F9)</f>
        <v>-577.79600000000005</v>
      </c>
      <c r="G10" s="62">
        <f t="shared" ref="G10:I10" si="2">SUM(G8:G9)</f>
        <v>-609.65700000000015</v>
      </c>
      <c r="H10" s="62">
        <f t="shared" si="2"/>
        <v>-10.908999999999907</v>
      </c>
      <c r="I10" s="62">
        <f t="shared" si="2"/>
        <v>509.43500000000034</v>
      </c>
    </row>
    <row r="11" spans="1:9" ht="14.25">
      <c r="B11" s="45" t="s">
        <v>102</v>
      </c>
      <c r="C11" s="9"/>
      <c r="D11" s="46"/>
      <c r="E11" s="33"/>
      <c r="F11" s="62">
        <v>-533.01199999999994</v>
      </c>
      <c r="G11" s="62">
        <v>-15.396000000000001</v>
      </c>
      <c r="H11" s="62">
        <v>30.678999999999998</v>
      </c>
      <c r="I11" s="62"/>
    </row>
    <row r="12" spans="1:9" ht="14.25">
      <c r="B12" s="11" t="s">
        <v>9</v>
      </c>
      <c r="C12" s="9" t="s">
        <v>65</v>
      </c>
      <c r="D12" s="9"/>
      <c r="E12" s="33"/>
      <c r="F12" s="62"/>
      <c r="G12" s="62"/>
      <c r="H12" s="62"/>
      <c r="I12" s="62"/>
    </row>
    <row r="13" spans="1:9" ht="14.25">
      <c r="B13" s="11" t="s">
        <v>11</v>
      </c>
      <c r="C13" s="9" t="s">
        <v>65</v>
      </c>
      <c r="D13" s="9"/>
      <c r="E13" s="33"/>
      <c r="F13" s="62"/>
      <c r="G13" s="62">
        <v>-51.875</v>
      </c>
      <c r="H13" s="62">
        <v>-35.567</v>
      </c>
      <c r="I13" s="62">
        <v>-35.351999999999997</v>
      </c>
    </row>
    <row r="14" spans="1:9" ht="14.25">
      <c r="B14" s="47" t="s">
        <v>14</v>
      </c>
      <c r="C14" s="9" t="s">
        <v>65</v>
      </c>
      <c r="D14" s="9"/>
      <c r="E14" s="34"/>
      <c r="F14" s="63">
        <f>SUM(F10:F13)</f>
        <v>-1110.808</v>
      </c>
      <c r="G14" s="63">
        <f t="shared" ref="G14:I14" si="3">SUM(G10:G13)</f>
        <v>-676.92800000000011</v>
      </c>
      <c r="H14" s="63">
        <f t="shared" si="3"/>
        <v>-15.796999999999908</v>
      </c>
      <c r="I14" s="63">
        <f t="shared" si="3"/>
        <v>474.08300000000037</v>
      </c>
    </row>
    <row r="15" spans="1:9">
      <c r="B15" s="18"/>
      <c r="C15" s="9"/>
      <c r="D15" s="9"/>
    </row>
    <row r="16" spans="1:9" s="6" customFormat="1" ht="15.4" thickBot="1">
      <c r="A16" s="3" t="s">
        <v>28</v>
      </c>
      <c r="B16" s="4"/>
      <c r="C16" s="5" t="s">
        <v>20</v>
      </c>
      <c r="D16" s="5" t="s">
        <v>21</v>
      </c>
      <c r="E16" s="2">
        <v>2020</v>
      </c>
      <c r="F16" s="58">
        <v>2021</v>
      </c>
      <c r="G16" s="59">
        <v>2022</v>
      </c>
      <c r="H16" s="58">
        <v>2023</v>
      </c>
      <c r="I16" s="59">
        <v>2024</v>
      </c>
    </row>
    <row r="17" spans="1:15">
      <c r="B17" s="123" t="s">
        <v>23</v>
      </c>
      <c r="C17" s="9" t="s">
        <v>65</v>
      </c>
      <c r="D17" s="9"/>
      <c r="E17" s="33"/>
      <c r="F17" s="60">
        <v>2986.415</v>
      </c>
      <c r="G17" s="60">
        <v>3124.9180000000001</v>
      </c>
      <c r="H17" s="60">
        <v>3210.9479999999999</v>
      </c>
      <c r="I17" s="121">
        <v>3667</v>
      </c>
    </row>
    <row r="18" spans="1:15">
      <c r="B18" s="109" t="s">
        <v>24</v>
      </c>
      <c r="C18" s="9" t="s">
        <v>65</v>
      </c>
      <c r="D18" s="9"/>
      <c r="E18" s="33"/>
      <c r="F18" s="60">
        <v>12.082000000000001</v>
      </c>
      <c r="G18" s="60">
        <v>10.477</v>
      </c>
      <c r="H18" s="60">
        <v>8.8550000000000004</v>
      </c>
      <c r="I18" s="121">
        <v>7.3</v>
      </c>
    </row>
    <row r="19" spans="1:15" ht="13.15">
      <c r="B19" s="109" t="s">
        <v>27</v>
      </c>
      <c r="C19" s="9" t="s">
        <v>65</v>
      </c>
      <c r="D19" s="46"/>
      <c r="E19" s="33"/>
      <c r="F19" s="60">
        <v>269.017</v>
      </c>
      <c r="G19" s="60">
        <v>259</v>
      </c>
      <c r="H19" s="60">
        <v>374.41699999999997</v>
      </c>
      <c r="I19" s="121">
        <v>261</v>
      </c>
    </row>
    <row r="20" spans="1:15">
      <c r="B20" s="109" t="s">
        <v>26</v>
      </c>
      <c r="C20" s="9" t="s">
        <v>65</v>
      </c>
      <c r="D20" s="9"/>
      <c r="E20" s="33"/>
      <c r="F20" s="60"/>
      <c r="G20" s="60"/>
      <c r="H20" s="60"/>
      <c r="I20" s="121"/>
    </row>
    <row r="21" spans="1:15">
      <c r="B21" s="124" t="s">
        <v>33</v>
      </c>
      <c r="C21" s="9" t="s">
        <v>65</v>
      </c>
      <c r="D21" s="17"/>
      <c r="E21" s="33"/>
      <c r="F21" s="60">
        <f>SUM(F17:F20)</f>
        <v>3267.5139999999997</v>
      </c>
      <c r="G21" s="60">
        <f t="shared" ref="G21:I21" si="4">SUM(G17:G20)</f>
        <v>3394.395</v>
      </c>
      <c r="H21" s="60">
        <f t="shared" si="4"/>
        <v>3594.22</v>
      </c>
      <c r="I21" s="121">
        <f t="shared" si="4"/>
        <v>3935.3</v>
      </c>
    </row>
    <row r="22" spans="1:15" ht="13.15">
      <c r="B22" s="109" t="s">
        <v>29</v>
      </c>
      <c r="C22" s="9" t="s">
        <v>65</v>
      </c>
      <c r="D22" s="46"/>
      <c r="E22" s="33"/>
      <c r="F22" s="60"/>
      <c r="G22" s="60"/>
      <c r="H22" s="60"/>
      <c r="I22" s="121"/>
      <c r="O22" s="48"/>
    </row>
    <row r="23" spans="1:15">
      <c r="B23" s="109" t="s">
        <v>25</v>
      </c>
      <c r="C23" s="9" t="s">
        <v>65</v>
      </c>
      <c r="D23" s="9"/>
      <c r="E23" s="33"/>
      <c r="F23" s="60">
        <v>323.64999999999998</v>
      </c>
      <c r="G23" s="60">
        <v>526.43499999999995</v>
      </c>
      <c r="H23" s="60">
        <v>502.77100000000002</v>
      </c>
      <c r="I23" s="121">
        <v>675</v>
      </c>
    </row>
    <row r="24" spans="1:15">
      <c r="B24" s="109" t="s">
        <v>2</v>
      </c>
      <c r="C24" s="9" t="s">
        <v>65</v>
      </c>
      <c r="D24" s="9"/>
      <c r="E24" s="33"/>
      <c r="F24" s="60"/>
      <c r="G24" s="60"/>
      <c r="H24" s="60"/>
      <c r="I24" s="121"/>
    </row>
    <row r="25" spans="1:15">
      <c r="B25" s="11" t="s">
        <v>30</v>
      </c>
      <c r="C25" s="9" t="s">
        <v>65</v>
      </c>
      <c r="D25" s="9"/>
      <c r="E25" s="33"/>
      <c r="F25" s="60">
        <v>457.81700000000001</v>
      </c>
      <c r="G25" s="60">
        <v>438.94099999999997</v>
      </c>
      <c r="H25" s="60">
        <v>327.964</v>
      </c>
      <c r="I25" s="121">
        <v>310</v>
      </c>
    </row>
    <row r="26" spans="1:15">
      <c r="B26" s="11" t="s">
        <v>31</v>
      </c>
      <c r="C26" s="9" t="s">
        <v>65</v>
      </c>
      <c r="D26" s="9"/>
      <c r="E26" s="33"/>
      <c r="F26" s="60"/>
      <c r="G26" s="60"/>
      <c r="H26" s="60"/>
      <c r="I26" s="121"/>
    </row>
    <row r="27" spans="1:15">
      <c r="B27" s="11" t="s">
        <v>32</v>
      </c>
      <c r="C27" s="9" t="s">
        <v>65</v>
      </c>
      <c r="D27" s="9"/>
      <c r="E27" s="33"/>
      <c r="F27" s="60">
        <v>1.339</v>
      </c>
      <c r="G27" s="60">
        <v>17.242999999999999</v>
      </c>
      <c r="H27" s="60">
        <v>14.15</v>
      </c>
      <c r="I27" s="121">
        <v>13</v>
      </c>
    </row>
    <row r="28" spans="1:15">
      <c r="B28" s="45" t="s">
        <v>34</v>
      </c>
      <c r="C28" s="9" t="s">
        <v>65</v>
      </c>
      <c r="D28" s="9"/>
      <c r="E28" s="33"/>
      <c r="F28" s="60">
        <f>SUM(F22:F27)</f>
        <v>782.80600000000004</v>
      </c>
      <c r="G28" s="60">
        <f t="shared" ref="G28:I28" si="5">SUM(G22:G27)</f>
        <v>982.61900000000003</v>
      </c>
      <c r="H28" s="60">
        <f t="shared" si="5"/>
        <v>844.88499999999999</v>
      </c>
      <c r="I28" s="121">
        <f t="shared" si="5"/>
        <v>998</v>
      </c>
    </row>
    <row r="29" spans="1:15" ht="13.15">
      <c r="B29" s="14" t="s">
        <v>35</v>
      </c>
      <c r="C29" s="9" t="s">
        <v>65</v>
      </c>
      <c r="D29" s="9"/>
      <c r="E29" s="34"/>
      <c r="F29" s="61">
        <f>F21+F28</f>
        <v>4050.3199999999997</v>
      </c>
      <c r="G29" s="61">
        <f>G21+G28</f>
        <v>4377.0140000000001</v>
      </c>
      <c r="H29" s="61">
        <f t="shared" ref="H29:I29" si="6">H21+H28</f>
        <v>4439.1049999999996</v>
      </c>
      <c r="I29" s="122">
        <f t="shared" si="6"/>
        <v>4933.3</v>
      </c>
    </row>
    <row r="30" spans="1:15" ht="13.15">
      <c r="B30" s="35"/>
      <c r="C30" s="9"/>
      <c r="D30" s="9"/>
      <c r="E30" s="34"/>
      <c r="F30" s="56"/>
      <c r="G30" s="56"/>
      <c r="H30" s="56"/>
    </row>
    <row r="31" spans="1:15" s="6" customFormat="1" ht="15.4" thickBot="1">
      <c r="A31" s="3" t="s">
        <v>62</v>
      </c>
      <c r="B31" s="4"/>
      <c r="C31" s="5" t="s">
        <v>20</v>
      </c>
      <c r="D31" s="5" t="s">
        <v>21</v>
      </c>
      <c r="E31" s="2">
        <v>2020</v>
      </c>
      <c r="F31" s="58">
        <v>2021</v>
      </c>
      <c r="G31" s="59">
        <v>2022</v>
      </c>
      <c r="H31" s="58">
        <v>2023</v>
      </c>
      <c r="I31" s="59">
        <v>2024</v>
      </c>
    </row>
    <row r="32" spans="1:15">
      <c r="B32" s="8" t="s">
        <v>103</v>
      </c>
      <c r="C32" s="9" t="s">
        <v>65</v>
      </c>
      <c r="D32" s="9"/>
      <c r="E32" s="33"/>
      <c r="F32" s="60"/>
      <c r="G32" s="60">
        <v>136.46</v>
      </c>
      <c r="H32" s="60">
        <v>215.286</v>
      </c>
      <c r="I32" s="60">
        <v>219.83</v>
      </c>
    </row>
    <row r="33" spans="1:15">
      <c r="B33" s="11" t="s">
        <v>104</v>
      </c>
      <c r="C33" s="9" t="s">
        <v>65</v>
      </c>
      <c r="D33" s="9"/>
      <c r="E33" s="33"/>
      <c r="F33" s="60">
        <v>4.1260000000000003</v>
      </c>
      <c r="G33" s="60">
        <v>2.5470000000000002</v>
      </c>
      <c r="H33" s="60">
        <v>2.78</v>
      </c>
      <c r="I33" s="60">
        <v>3.5209999999999999</v>
      </c>
    </row>
    <row r="34" spans="1:15">
      <c r="B34" s="8" t="s">
        <v>105</v>
      </c>
      <c r="C34" s="9" t="s">
        <v>65</v>
      </c>
      <c r="D34" s="17"/>
      <c r="E34" s="33"/>
      <c r="F34" s="60">
        <v>-1.212</v>
      </c>
      <c r="G34" s="60"/>
      <c r="H34" s="60">
        <v>31.942</v>
      </c>
      <c r="I34" s="60">
        <v>9.43</v>
      </c>
    </row>
    <row r="35" spans="1:15" ht="13.15">
      <c r="B35" s="8" t="s">
        <v>106</v>
      </c>
      <c r="C35" s="9" t="s">
        <v>65</v>
      </c>
      <c r="D35" s="46"/>
      <c r="E35" s="33"/>
      <c r="F35" s="60">
        <v>-1.458</v>
      </c>
      <c r="G35" s="60">
        <v>4.9189999999999996</v>
      </c>
      <c r="H35" s="60">
        <v>4.5990000000000002</v>
      </c>
      <c r="I35" s="60">
        <v>3.1579999999999999</v>
      </c>
    </row>
    <row r="36" spans="1:15" ht="13.15">
      <c r="B36" s="11" t="s">
        <v>107</v>
      </c>
      <c r="C36" s="9" t="s">
        <v>65</v>
      </c>
      <c r="D36" s="46"/>
      <c r="E36" s="33"/>
      <c r="F36" s="60">
        <v>76.563999999999993</v>
      </c>
      <c r="G36" s="60">
        <v>94.616</v>
      </c>
      <c r="H36" s="60">
        <v>-370.17700000000002</v>
      </c>
      <c r="I36" s="60">
        <v>92.305000000000007</v>
      </c>
    </row>
    <row r="37" spans="1:15" ht="13.15">
      <c r="B37" s="11" t="s">
        <v>64</v>
      </c>
      <c r="C37" s="9" t="s">
        <v>65</v>
      </c>
      <c r="D37" s="46"/>
      <c r="E37" s="33"/>
      <c r="F37" s="60">
        <v>66.358000000000004</v>
      </c>
      <c r="G37" s="60">
        <v>233.315</v>
      </c>
      <c r="H37" s="60">
        <v>275.07</v>
      </c>
      <c r="I37" s="60">
        <v>313.702</v>
      </c>
    </row>
    <row r="38" spans="1:15" ht="13.15">
      <c r="B38" s="14" t="s">
        <v>108</v>
      </c>
      <c r="C38" s="9" t="s">
        <v>65</v>
      </c>
      <c r="D38" s="9"/>
      <c r="E38" s="34"/>
      <c r="F38" s="61">
        <f>SUM(F32:F37)</f>
        <v>144.37799999999999</v>
      </c>
      <c r="G38" s="61">
        <f t="shared" ref="G38:I38" si="7">SUM(G32:G37)</f>
        <v>471.85700000000003</v>
      </c>
      <c r="H38" s="61">
        <f t="shared" si="7"/>
        <v>159.49999999999997</v>
      </c>
      <c r="I38" s="61">
        <f t="shared" si="7"/>
        <v>641.94600000000003</v>
      </c>
    </row>
    <row r="39" spans="1:15" ht="13.15">
      <c r="B39" s="35"/>
      <c r="C39" s="9"/>
      <c r="D39" s="9"/>
      <c r="E39" s="36"/>
      <c r="F39" s="57"/>
      <c r="G39" s="57"/>
      <c r="H39" s="57"/>
      <c r="I39" s="57"/>
      <c r="J39" s="36"/>
      <c r="K39" s="36"/>
    </row>
    <row r="40" spans="1:15" s="6" customFormat="1" ht="15.4" thickBot="1">
      <c r="A40" s="3" t="s">
        <v>43</v>
      </c>
      <c r="B40" s="4"/>
      <c r="C40" s="5" t="s">
        <v>20</v>
      </c>
      <c r="D40" s="5" t="s">
        <v>21</v>
      </c>
      <c r="E40" s="2">
        <v>2020</v>
      </c>
      <c r="F40" s="58">
        <v>2021</v>
      </c>
      <c r="G40" s="59">
        <v>2022</v>
      </c>
      <c r="H40" s="58">
        <v>2023</v>
      </c>
      <c r="I40" s="59">
        <v>2024</v>
      </c>
    </row>
    <row r="41" spans="1:15">
      <c r="B41" s="8" t="s">
        <v>44</v>
      </c>
      <c r="C41" s="9" t="s">
        <v>65</v>
      </c>
      <c r="D41" s="9"/>
      <c r="E41" s="33"/>
      <c r="F41" s="60">
        <v>0.4</v>
      </c>
      <c r="G41" s="60">
        <v>135.947</v>
      </c>
      <c r="H41" s="60">
        <v>262.91899999999998</v>
      </c>
      <c r="I41" s="121">
        <v>213</v>
      </c>
    </row>
    <row r="42" spans="1:15">
      <c r="B42" s="11" t="s">
        <v>45</v>
      </c>
      <c r="C42" s="9" t="s">
        <v>65</v>
      </c>
      <c r="D42" s="9"/>
      <c r="E42" s="33"/>
      <c r="F42" s="60"/>
      <c r="G42" s="60"/>
      <c r="H42" s="60"/>
      <c r="I42" s="121"/>
    </row>
    <row r="43" spans="1:15">
      <c r="B43" s="11" t="s">
        <v>46</v>
      </c>
      <c r="C43" s="9" t="s">
        <v>65</v>
      </c>
      <c r="D43" s="9"/>
      <c r="E43" s="33"/>
      <c r="F43" s="60"/>
      <c r="G43" s="60">
        <v>150.51</v>
      </c>
      <c r="H43" s="60">
        <v>188.09299999999999</v>
      </c>
      <c r="I43" s="121"/>
    </row>
    <row r="44" spans="1:15">
      <c r="B44" s="45" t="s">
        <v>47</v>
      </c>
      <c r="C44" s="9" t="s">
        <v>65</v>
      </c>
      <c r="D44" s="9"/>
      <c r="E44" s="33"/>
      <c r="F44" s="60"/>
      <c r="G44" s="60"/>
      <c r="H44" s="60"/>
      <c r="I44" s="121"/>
    </row>
    <row r="45" spans="1:15">
      <c r="B45" s="11" t="s">
        <v>48</v>
      </c>
      <c r="C45" s="9" t="s">
        <v>65</v>
      </c>
      <c r="D45" s="9"/>
      <c r="E45" s="33"/>
      <c r="F45" s="60">
        <v>0.8</v>
      </c>
      <c r="G45" s="60">
        <v>6.3860000000000001</v>
      </c>
      <c r="H45" s="60">
        <v>15.611000000000001</v>
      </c>
      <c r="I45" s="121"/>
    </row>
    <row r="46" spans="1:15">
      <c r="B46" s="11" t="s">
        <v>49</v>
      </c>
      <c r="C46" s="9" t="s">
        <v>65</v>
      </c>
      <c r="D46" s="17"/>
      <c r="E46" s="33"/>
      <c r="F46" s="60">
        <v>543.71900000000005</v>
      </c>
      <c r="G46" s="60">
        <v>1227.779</v>
      </c>
      <c r="H46" s="60">
        <v>1331.78</v>
      </c>
      <c r="I46" s="121">
        <v>1503</v>
      </c>
      <c r="O46" s="48"/>
    </row>
    <row r="47" spans="1:15" ht="13.15">
      <c r="B47" s="11" t="s">
        <v>50</v>
      </c>
      <c r="C47" s="9" t="s">
        <v>65</v>
      </c>
      <c r="D47" s="46"/>
      <c r="E47" s="33"/>
      <c r="F47" s="60">
        <v>177.08600000000001</v>
      </c>
      <c r="G47" s="60">
        <v>167.75800000000001</v>
      </c>
      <c r="H47" s="60">
        <v>23.678000000000001</v>
      </c>
      <c r="I47" s="121">
        <v>43</v>
      </c>
    </row>
    <row r="48" spans="1:15">
      <c r="B48" s="11" t="s">
        <v>52</v>
      </c>
      <c r="C48" s="9" t="s">
        <v>65</v>
      </c>
      <c r="D48" s="9"/>
      <c r="E48" s="33"/>
      <c r="F48" s="60"/>
      <c r="G48" s="60"/>
      <c r="H48" s="60"/>
      <c r="I48" s="121"/>
    </row>
    <row r="49" spans="1:9">
      <c r="B49" s="11" t="s">
        <v>51</v>
      </c>
      <c r="C49" s="9" t="s">
        <v>65</v>
      </c>
      <c r="D49" s="9"/>
      <c r="E49" s="33"/>
      <c r="F49" s="60">
        <v>229.77799999999999</v>
      </c>
      <c r="G49" s="60">
        <v>240.01400000000001</v>
      </c>
      <c r="H49" s="60">
        <v>133.31899999999999</v>
      </c>
      <c r="I49" s="121">
        <v>231.7</v>
      </c>
    </row>
    <row r="50" spans="1:9">
      <c r="B50" s="11" t="s">
        <v>53</v>
      </c>
      <c r="C50" s="9" t="s">
        <v>65</v>
      </c>
      <c r="D50" s="9"/>
      <c r="E50" s="33"/>
      <c r="F50" s="60">
        <v>33.548000000000002</v>
      </c>
      <c r="G50" s="60">
        <f>25.486+41.087</f>
        <v>66.573000000000008</v>
      </c>
      <c r="H50" s="60">
        <f>38.818+78.59</f>
        <v>117.408</v>
      </c>
      <c r="I50" s="121">
        <v>52.4</v>
      </c>
    </row>
    <row r="51" spans="1:9">
      <c r="B51" s="45" t="s">
        <v>54</v>
      </c>
      <c r="C51" s="9" t="s">
        <v>65</v>
      </c>
      <c r="D51" s="9"/>
      <c r="E51" s="33"/>
      <c r="F51" s="60"/>
      <c r="G51" s="60"/>
      <c r="H51" s="60"/>
      <c r="I51" s="121"/>
    </row>
    <row r="52" spans="1:9" ht="13.15">
      <c r="B52" s="14" t="s">
        <v>70</v>
      </c>
      <c r="C52" s="9" t="s">
        <v>65</v>
      </c>
      <c r="D52" s="9"/>
      <c r="E52" s="34"/>
      <c r="F52" s="61">
        <f t="shared" ref="F52:G52" si="8">SUM(F41:F51)</f>
        <v>985.33100000000013</v>
      </c>
      <c r="G52" s="61">
        <f t="shared" si="8"/>
        <v>1994.9670000000003</v>
      </c>
      <c r="H52" s="61">
        <f>SUM(H41:H51)</f>
        <v>2072.808</v>
      </c>
      <c r="I52" s="122">
        <f>SUM(I41:I51)</f>
        <v>2043.1000000000001</v>
      </c>
    </row>
    <row r="53" spans="1:9" ht="13.15">
      <c r="B53" s="35"/>
      <c r="C53" s="9"/>
      <c r="D53" s="9"/>
      <c r="E53" s="34"/>
      <c r="F53" s="56"/>
      <c r="G53" s="56"/>
      <c r="H53" s="56"/>
    </row>
    <row r="54" spans="1:9" s="6" customFormat="1" ht="15.4" thickBot="1">
      <c r="A54" s="3" t="s">
        <v>63</v>
      </c>
      <c r="B54" s="5"/>
      <c r="C54" s="5" t="s">
        <v>20</v>
      </c>
      <c r="D54" s="5" t="s">
        <v>21</v>
      </c>
      <c r="E54" s="2">
        <v>2020</v>
      </c>
      <c r="F54" s="58">
        <v>2021</v>
      </c>
      <c r="G54" s="59">
        <v>2022</v>
      </c>
      <c r="H54" s="58">
        <v>2023</v>
      </c>
      <c r="I54" s="59">
        <v>2024</v>
      </c>
    </row>
    <row r="55" spans="1:9">
      <c r="B55" s="111" t="s">
        <v>123</v>
      </c>
      <c r="C55" s="112" t="s">
        <v>65</v>
      </c>
      <c r="D55" s="112"/>
      <c r="E55" s="101"/>
      <c r="F55" s="121">
        <v>-248.46</v>
      </c>
      <c r="G55" s="121">
        <v>465.14600000000002</v>
      </c>
      <c r="H55" s="121">
        <v>308.96199999999999</v>
      </c>
      <c r="I55" s="121">
        <v>117</v>
      </c>
    </row>
    <row r="56" spans="1:9">
      <c r="B56" s="109" t="s">
        <v>149</v>
      </c>
      <c r="C56" s="112" t="s">
        <v>65</v>
      </c>
      <c r="D56" s="112"/>
      <c r="E56" s="101"/>
      <c r="F56" s="121">
        <v>442.4</v>
      </c>
      <c r="G56" s="121">
        <v>567.82600000000002</v>
      </c>
      <c r="H56" s="121">
        <v>856.44100000000003</v>
      </c>
      <c r="I56" s="121">
        <v>1171.2470000000001</v>
      </c>
    </row>
    <row r="57" spans="1:9">
      <c r="B57" s="111" t="s">
        <v>124</v>
      </c>
      <c r="C57" s="112" t="s">
        <v>65</v>
      </c>
      <c r="D57" s="113"/>
      <c r="E57" s="101"/>
      <c r="F57" s="121"/>
      <c r="G57" s="121">
        <v>53.954000000000001</v>
      </c>
      <c r="H57" s="121">
        <v>19.954000000000001</v>
      </c>
      <c r="I57" s="121">
        <v>5.9539999999999997</v>
      </c>
    </row>
    <row r="58" spans="1:9" ht="13.15">
      <c r="B58" s="111" t="s">
        <v>125</v>
      </c>
      <c r="C58" s="112" t="s">
        <v>65</v>
      </c>
      <c r="D58" s="114"/>
      <c r="E58" s="101"/>
      <c r="F58" s="121"/>
      <c r="G58" s="121">
        <v>18.82</v>
      </c>
      <c r="H58" s="121">
        <v>12.752000000000001</v>
      </c>
      <c r="I58" s="121">
        <v>4.452</v>
      </c>
    </row>
    <row r="59" spans="1:9" ht="13.15">
      <c r="B59" s="111" t="s">
        <v>126</v>
      </c>
      <c r="C59" s="112" t="s">
        <v>65</v>
      </c>
      <c r="D59" s="114"/>
      <c r="E59" s="101"/>
      <c r="F59" s="121">
        <v>221.14</v>
      </c>
      <c r="G59" s="121">
        <v>63.243000000000002</v>
      </c>
      <c r="H59" s="121">
        <v>74.200999999999993</v>
      </c>
      <c r="I59" s="121">
        <v>232</v>
      </c>
    </row>
    <row r="60" spans="1:9" ht="13.15">
      <c r="B60" s="109" t="s">
        <v>64</v>
      </c>
      <c r="C60" s="112" t="s">
        <v>65</v>
      </c>
      <c r="D60" s="114"/>
      <c r="E60" s="101"/>
      <c r="F60" s="121">
        <v>32.476999999999997</v>
      </c>
      <c r="G60" s="121">
        <v>112.23699999999999</v>
      </c>
      <c r="H60" s="121">
        <v>134.643</v>
      </c>
      <c r="I60" s="121">
        <v>139.501</v>
      </c>
    </row>
    <row r="61" spans="1:9" ht="13.15">
      <c r="B61" s="115" t="s">
        <v>3</v>
      </c>
      <c r="C61" s="112" t="s">
        <v>65</v>
      </c>
      <c r="D61" s="112"/>
      <c r="E61" s="103"/>
      <c r="F61" s="122">
        <f>SUM(F55:F60)</f>
        <v>447.5569999999999</v>
      </c>
      <c r="G61" s="122">
        <f t="shared" ref="G61" si="9">SUM(G55:G60)</f>
        <v>1281.2259999999999</v>
      </c>
      <c r="H61" s="122">
        <f>SUM(H55:H60)</f>
        <v>1406.953</v>
      </c>
      <c r="I61" s="122">
        <f>SUM(I55:I60)</f>
        <v>1670.154</v>
      </c>
    </row>
    <row r="62" spans="1:9">
      <c r="C62" s="9"/>
      <c r="D62" s="9"/>
    </row>
    <row r="63" spans="1:9" s="6" customFormat="1" ht="15.4" thickBot="1">
      <c r="A63" s="3" t="s">
        <v>36</v>
      </c>
      <c r="B63" s="5"/>
      <c r="C63" s="5" t="s">
        <v>20</v>
      </c>
      <c r="D63" s="5" t="s">
        <v>21</v>
      </c>
      <c r="E63" s="2">
        <v>2020</v>
      </c>
      <c r="F63" s="58">
        <v>2021</v>
      </c>
      <c r="G63" s="59">
        <v>2022</v>
      </c>
      <c r="H63" s="58">
        <v>2023</v>
      </c>
      <c r="I63" s="59">
        <v>2024</v>
      </c>
    </row>
    <row r="64" spans="1:9" ht="14.25">
      <c r="B64" s="111" t="s">
        <v>37</v>
      </c>
      <c r="C64" s="112" t="s">
        <v>65</v>
      </c>
      <c r="D64" s="112"/>
      <c r="E64" s="125"/>
      <c r="F64" s="126">
        <v>2708.9639999999999</v>
      </c>
      <c r="G64" s="126">
        <v>2940.1669999999999</v>
      </c>
      <c r="H64" s="126">
        <f>'[15] STB_FS_полугодовой'!G51+'[15] STB_FS_полугодовой'!H51</f>
        <v>3852.5</v>
      </c>
      <c r="I64" s="126">
        <f>'[15] STB_FS_полугодовой'!I51+'[15] STB_FS_полугодовой'!J51</f>
        <v>4545.3</v>
      </c>
    </row>
    <row r="65" spans="2:12" ht="14.25">
      <c r="B65" s="109" t="s">
        <v>38</v>
      </c>
      <c r="C65" s="112" t="s">
        <v>65</v>
      </c>
      <c r="D65" s="112"/>
      <c r="E65" s="125"/>
      <c r="F65" s="126"/>
      <c r="G65" s="126"/>
      <c r="H65" s="126">
        <f>'[15] STB_FS_полугодовой'!G52+'[15] STB_FS_полугодовой'!H52</f>
        <v>0.4</v>
      </c>
      <c r="I65" s="126">
        <f>'[15] STB_FS_полугодовой'!I52+'[15] STB_FS_полугодовой'!J52</f>
        <v>0</v>
      </c>
    </row>
    <row r="66" spans="2:12" ht="14.25">
      <c r="B66" s="109" t="s">
        <v>39</v>
      </c>
      <c r="C66" s="112" t="s">
        <v>65</v>
      </c>
      <c r="D66" s="112"/>
      <c r="E66" s="125"/>
      <c r="F66" s="126">
        <v>-194.25200000000001</v>
      </c>
      <c r="G66" s="126">
        <v>-329.55399999999997</v>
      </c>
      <c r="H66" s="126">
        <f>'[15] STB_FS_полугодовой'!G53+'[15] STB_FS_полугодовой'!H53</f>
        <v>-184.01400000000001</v>
      </c>
      <c r="I66" s="126">
        <f>'[15] STB_FS_полугодовой'!I53+'[15] STB_FS_полугодовой'!J53</f>
        <v>-282.70099999999996</v>
      </c>
    </row>
    <row r="67" spans="2:12" ht="14.25">
      <c r="B67" s="109" t="s">
        <v>40</v>
      </c>
      <c r="C67" s="112" t="s">
        <v>65</v>
      </c>
      <c r="D67" s="114"/>
      <c r="E67" s="125"/>
      <c r="F67" s="126">
        <v>-2195.9569999999999</v>
      </c>
      <c r="G67" s="126">
        <v>-1902.048</v>
      </c>
      <c r="H67" s="126">
        <f>'[15] STB_FS_полугодовой'!G54+'[15] STB_FS_полугодовой'!H54</f>
        <v>-2966.5</v>
      </c>
      <c r="I67" s="126">
        <f>'[15] STB_FS_полугодовой'!I54+'[15] STB_FS_полугодовой'!J54</f>
        <v>-3372.8</v>
      </c>
    </row>
    <row r="68" spans="2:12" ht="14.25">
      <c r="B68" s="109" t="s">
        <v>41</v>
      </c>
      <c r="C68" s="112" t="s">
        <v>65</v>
      </c>
      <c r="D68" s="112"/>
      <c r="E68" s="125"/>
      <c r="F68" s="126">
        <v>-212.298</v>
      </c>
      <c r="G68" s="126">
        <v>-264.97699999999998</v>
      </c>
      <c r="H68" s="126">
        <f>'[15] STB_FS_полугодовой'!G55+'[15] STB_FS_полугодовой'!H55</f>
        <v>-272.2</v>
      </c>
      <c r="I68" s="126">
        <f>'[15] STB_FS_полугодовой'!I55+'[15] STB_FS_полугодовой'!J55</f>
        <v>-279.5</v>
      </c>
    </row>
    <row r="69" spans="2:12" ht="14.25">
      <c r="B69" s="109" t="s">
        <v>42</v>
      </c>
      <c r="C69" s="112" t="s">
        <v>65</v>
      </c>
      <c r="D69" s="112"/>
      <c r="E69" s="125"/>
      <c r="F69" s="126">
        <v>-45.5</v>
      </c>
      <c r="G69" s="126">
        <v>-67.793999999999997</v>
      </c>
      <c r="H69" s="126">
        <f>'[15] STB_FS_полугодовой'!G56+'[15] STB_FS_полугодовой'!H56</f>
        <v>-41.4</v>
      </c>
      <c r="I69" s="126">
        <f>'[15] STB_FS_полугодовой'!I56+'[15] STB_FS_полугодовой'!J56</f>
        <v>-60.099999999999994</v>
      </c>
    </row>
    <row r="70" spans="2:12" ht="14.25">
      <c r="B70" s="109" t="s">
        <v>11</v>
      </c>
      <c r="C70" s="112" t="s">
        <v>65</v>
      </c>
      <c r="D70" s="112"/>
      <c r="E70" s="125"/>
      <c r="F70" s="126">
        <v>-29.818999999999999</v>
      </c>
      <c r="G70" s="126">
        <v>-263.74799999999999</v>
      </c>
      <c r="H70" s="126">
        <f>'[15] STB_FS_полугодовой'!G57+'[15] STB_FS_полугодовой'!H57</f>
        <v>-338.70000000000005</v>
      </c>
      <c r="I70" s="126">
        <f>'[15] STB_FS_полугодовой'!I57+'[15] STB_FS_полугодовой'!J57</f>
        <v>-480.90000000000003</v>
      </c>
    </row>
    <row r="71" spans="2:12" ht="14.25">
      <c r="B71" s="109" t="s">
        <v>109</v>
      </c>
      <c r="C71" s="112"/>
      <c r="D71" s="112"/>
      <c r="E71" s="125"/>
      <c r="F71" s="126">
        <v>-30.393999999999998</v>
      </c>
      <c r="G71" s="126">
        <v>-96.105999999999995</v>
      </c>
      <c r="H71" s="126">
        <f>'[15] STB_FS_полугодовой'!G58+'[15] STB_FS_полугодовой'!H58</f>
        <v>-47.4</v>
      </c>
      <c r="I71" s="126">
        <f>'[15] STB_FS_полугодовой'!I58+'[15] STB_FS_полугодовой'!J58</f>
        <v>-71.599999999999994</v>
      </c>
    </row>
    <row r="72" spans="2:12" ht="14.25">
      <c r="B72" s="109" t="s">
        <v>57</v>
      </c>
      <c r="C72" s="112" t="s">
        <v>65</v>
      </c>
      <c r="D72" s="112"/>
      <c r="E72" s="125"/>
      <c r="F72" s="126">
        <f>SUM(F64:F71)</f>
        <v>0.74400000000010991</v>
      </c>
      <c r="G72" s="126">
        <f>SUM(G64:G71)</f>
        <v>15.939999999999884</v>
      </c>
      <c r="H72" s="126">
        <f>SUM(H64:H71)</f>
        <v>2.6859999999999573</v>
      </c>
      <c r="I72" s="126">
        <f>SUM(I64:I71)</f>
        <v>-2.301000000000073</v>
      </c>
    </row>
    <row r="73" spans="2:12" ht="14.25">
      <c r="B73" s="109" t="s">
        <v>55</v>
      </c>
      <c r="C73" s="112" t="s">
        <v>65</v>
      </c>
      <c r="D73" s="112"/>
      <c r="E73" s="125"/>
      <c r="F73" s="126"/>
      <c r="G73" s="126"/>
      <c r="H73" s="126">
        <f>'[15] STB_FS_полугодовой'!G60+'[15] STB_FS_полугодовой'!H60</f>
        <v>-3.4370000000000003</v>
      </c>
      <c r="I73" s="126">
        <f>'[15] STB_FS_полугодовой'!I60+'[15] STB_FS_полугодовой'!J60</f>
        <v>0</v>
      </c>
    </row>
    <row r="74" spans="2:12" ht="14.25">
      <c r="B74" s="109" t="s">
        <v>56</v>
      </c>
      <c r="C74" s="112" t="s">
        <v>65</v>
      </c>
      <c r="D74" s="112"/>
      <c r="E74" s="125"/>
      <c r="F74" s="126"/>
      <c r="G74" s="126"/>
      <c r="H74" s="126">
        <f>'[15] STB_FS_полугодовой'!G61+'[15] STB_FS_полугодовой'!H61</f>
        <v>0</v>
      </c>
      <c r="I74" s="126">
        <f>'[15] STB_FS_полугодовой'!I61+'[15] STB_FS_полугодовой'!J61</f>
        <v>0</v>
      </c>
    </row>
    <row r="75" spans="2:12" ht="14.25">
      <c r="B75" s="109" t="s">
        <v>58</v>
      </c>
      <c r="C75" s="112" t="s">
        <v>65</v>
      </c>
      <c r="D75" s="113"/>
      <c r="E75" s="125"/>
      <c r="F75" s="126"/>
      <c r="G75" s="126"/>
      <c r="H75" s="126">
        <f>'[15] STB_FS_полугодовой'!G62+'[15] STB_FS_полугодовой'!H62</f>
        <v>0</v>
      </c>
      <c r="I75" s="126">
        <f>'[15] STB_FS_полугодовой'!I62+'[15] STB_FS_полугодовой'!J62</f>
        <v>0</v>
      </c>
    </row>
    <row r="76" spans="2:12" ht="14.25">
      <c r="B76" s="109" t="s">
        <v>59</v>
      </c>
      <c r="C76" s="112" t="s">
        <v>65</v>
      </c>
      <c r="D76" s="114"/>
      <c r="E76" s="125"/>
      <c r="F76" s="126"/>
      <c r="G76" s="126"/>
      <c r="H76" s="126">
        <f>'[15] STB_FS_полугодовой'!G63+'[15] STB_FS_полугодовой'!H63</f>
        <v>0</v>
      </c>
      <c r="I76" s="126">
        <f>'[15] STB_FS_полугодовой'!I63+'[15] STB_FS_полугодовой'!J63</f>
        <v>0</v>
      </c>
    </row>
    <row r="77" spans="2:12" ht="14.25">
      <c r="B77" s="109" t="s">
        <v>60</v>
      </c>
      <c r="C77" s="112" t="s">
        <v>65</v>
      </c>
      <c r="D77" s="112"/>
      <c r="E77" s="125"/>
      <c r="F77" s="126"/>
      <c r="G77" s="126"/>
      <c r="H77" s="126">
        <f>'[15] STB_FS_полугодовой'!G64+'[15] STB_FS_полугодовой'!H64</f>
        <v>0</v>
      </c>
      <c r="I77" s="126">
        <f>'[15] STB_FS_полугодовой'!I64+'[15] STB_FS_полугодовой'!J64</f>
        <v>0</v>
      </c>
    </row>
    <row r="78" spans="2:12" ht="14.25">
      <c r="B78" s="120" t="s">
        <v>61</v>
      </c>
      <c r="C78" s="112" t="s">
        <v>65</v>
      </c>
      <c r="D78" s="112"/>
      <c r="E78" s="125"/>
      <c r="F78" s="126"/>
      <c r="G78" s="126"/>
      <c r="H78" s="126">
        <f>'[15] STB_FS_полугодовой'!G65+'[15] STB_FS_полугодовой'!H65</f>
        <v>0</v>
      </c>
      <c r="I78" s="126">
        <f>'[15] STB_FS_полугодовой'!I65+'[15] STB_FS_полугодовой'!J65</f>
        <v>0</v>
      </c>
    </row>
    <row r="79" spans="2:12" ht="16.350000000000001" customHeight="1">
      <c r="B79" s="120" t="s">
        <v>148</v>
      </c>
      <c r="C79" s="112"/>
      <c r="D79" s="112"/>
      <c r="E79" s="104"/>
      <c r="F79" s="126"/>
      <c r="G79" s="126"/>
      <c r="H79" s="126">
        <v>15</v>
      </c>
      <c r="I79" s="126">
        <f t="shared" ref="I79" si="10">H80</f>
        <v>14.248999999999956</v>
      </c>
      <c r="J79" s="93"/>
      <c r="K79" s="93"/>
      <c r="L79" s="93"/>
    </row>
    <row r="80" spans="2:12" ht="14.25">
      <c r="B80" s="115" t="s">
        <v>3</v>
      </c>
      <c r="C80" s="112" t="s">
        <v>65</v>
      </c>
      <c r="D80" s="112"/>
      <c r="E80" s="127"/>
      <c r="F80" s="126"/>
      <c r="G80" s="126"/>
      <c r="H80" s="126">
        <f>SUM(H72:H79)</f>
        <v>14.248999999999956</v>
      </c>
      <c r="I80" s="126">
        <f>SUM(I72:I79)</f>
        <v>11.947999999999883</v>
      </c>
    </row>
    <row r="81" spans="1:16">
      <c r="B81" s="18"/>
      <c r="C81" s="9"/>
      <c r="D81" s="9"/>
      <c r="H81" s="128"/>
      <c r="I81" s="128"/>
    </row>
    <row r="82" spans="1:16" s="6" customFormat="1" ht="15.4" thickBot="1">
      <c r="A82" s="3" t="s">
        <v>76</v>
      </c>
      <c r="B82" s="50"/>
      <c r="C82" s="5" t="s">
        <v>20</v>
      </c>
      <c r="D82" s="5" t="s">
        <v>21</v>
      </c>
      <c r="E82" s="2">
        <v>2020</v>
      </c>
      <c r="F82" s="53">
        <v>2021</v>
      </c>
      <c r="G82" s="54">
        <v>2022</v>
      </c>
      <c r="H82" s="53">
        <v>2023</v>
      </c>
      <c r="I82" s="54">
        <v>2024</v>
      </c>
      <c r="J82" s="2"/>
      <c r="K82" s="1"/>
      <c r="L82" s="2"/>
      <c r="M82" s="1"/>
      <c r="N82" s="2"/>
      <c r="O82" s="1"/>
      <c r="P82" s="2"/>
    </row>
    <row r="83" spans="1:16">
      <c r="B83" s="51" t="s">
        <v>77</v>
      </c>
      <c r="C83" s="9" t="s">
        <v>75</v>
      </c>
      <c r="D83" s="9"/>
    </row>
    <row r="84" spans="1:16">
      <c r="B84" s="18"/>
      <c r="C84" s="9"/>
      <c r="D84" s="9"/>
    </row>
    <row r="85" spans="1:16">
      <c r="B85" s="18"/>
      <c r="C85" s="9"/>
      <c r="D85" s="9"/>
    </row>
    <row r="86" spans="1:16">
      <c r="B86" s="18"/>
      <c r="C86" s="9"/>
      <c r="D86" s="9"/>
    </row>
    <row r="87" spans="1:16">
      <c r="B87" s="18"/>
      <c r="C87" s="9"/>
      <c r="D87" s="9"/>
    </row>
    <row r="88" spans="1:16">
      <c r="B88" s="18"/>
      <c r="C88" s="9"/>
      <c r="D88" s="9"/>
    </row>
    <row r="89" spans="1:16">
      <c r="B89" s="18"/>
      <c r="C89" s="9"/>
      <c r="D89" s="9"/>
    </row>
    <row r="90" spans="1:16">
      <c r="B90" s="18"/>
      <c r="C90" s="9"/>
      <c r="D90" s="9"/>
    </row>
    <row r="91" spans="1:16" ht="13.15">
      <c r="B91" s="18"/>
      <c r="C91" s="46"/>
      <c r="D91" s="46"/>
    </row>
    <row r="92" spans="1:16">
      <c r="B92" s="18"/>
      <c r="C92" s="9"/>
      <c r="D92" s="9"/>
    </row>
    <row r="93" spans="1:16">
      <c r="B93" s="18"/>
      <c r="C93" s="9"/>
      <c r="D93" s="9"/>
    </row>
    <row r="94" spans="1:16">
      <c r="B94" s="18"/>
      <c r="C94" s="9"/>
      <c r="D94" s="9"/>
    </row>
    <row r="95" spans="1:16">
      <c r="B95" s="18"/>
      <c r="C95" s="9"/>
      <c r="D95" s="9"/>
    </row>
    <row r="96" spans="1:16">
      <c r="B96" s="18"/>
      <c r="C96" s="9"/>
      <c r="D96" s="9"/>
    </row>
    <row r="97" spans="2:4">
      <c r="B97" s="18"/>
      <c r="C97" s="9"/>
      <c r="D97" s="9"/>
    </row>
    <row r="98" spans="2:4">
      <c r="B98" s="18"/>
      <c r="C98" s="17"/>
      <c r="D98" s="17"/>
    </row>
    <row r="99" spans="2:4" ht="13.15">
      <c r="B99" s="18"/>
      <c r="C99" s="46"/>
      <c r="D99" s="46"/>
    </row>
    <row r="100" spans="2:4">
      <c r="C100" s="9"/>
      <c r="D100" s="9"/>
    </row>
    <row r="101" spans="2:4">
      <c r="C101" s="9"/>
      <c r="D101" s="9"/>
    </row>
    <row r="102" spans="2:4">
      <c r="C102" s="9"/>
      <c r="D102" s="9"/>
    </row>
    <row r="103" spans="2:4">
      <c r="C103" s="9"/>
      <c r="D103" s="9"/>
    </row>
    <row r="104" spans="2:4">
      <c r="C104" s="9"/>
      <c r="D104" s="9"/>
    </row>
    <row r="105" spans="2:4">
      <c r="C105" s="9"/>
      <c r="D105" s="9"/>
    </row>
    <row r="106" spans="2:4">
      <c r="C106" s="9"/>
      <c r="D106" s="9"/>
    </row>
    <row r="107" spans="2:4">
      <c r="C107" s="9"/>
      <c r="D107" s="9"/>
    </row>
    <row r="108" spans="2:4">
      <c r="C108" s="9"/>
      <c r="D108" s="9"/>
    </row>
    <row r="109" spans="2:4" ht="13.15">
      <c r="C109" s="52"/>
      <c r="D109" s="52"/>
    </row>
    <row r="110" spans="2:4">
      <c r="C110" s="17"/>
      <c r="D110" s="17"/>
    </row>
    <row r="111" spans="2:4" ht="13.15">
      <c r="C111" s="46"/>
      <c r="D111" s="46"/>
    </row>
    <row r="112" spans="2:4">
      <c r="C112" s="9"/>
      <c r="D112" s="9"/>
    </row>
    <row r="113" spans="3:4">
      <c r="C113" s="9"/>
      <c r="D113" s="9"/>
    </row>
    <row r="114" spans="3:4">
      <c r="C114" s="9"/>
      <c r="D114" s="9"/>
    </row>
    <row r="115" spans="3:4">
      <c r="C115" s="9"/>
      <c r="D115" s="9"/>
    </row>
    <row r="116" spans="3:4">
      <c r="C116" s="9"/>
      <c r="D116" s="9"/>
    </row>
    <row r="117" spans="3:4">
      <c r="C117" s="9"/>
      <c r="D117" s="9"/>
    </row>
    <row r="118" spans="3:4">
      <c r="C118" s="9"/>
      <c r="D118" s="9"/>
    </row>
    <row r="119" spans="3:4">
      <c r="C119" s="9"/>
      <c r="D119" s="9"/>
    </row>
    <row r="120" spans="3:4">
      <c r="C120" s="9"/>
      <c r="D120" s="9"/>
    </row>
    <row r="121" spans="3:4" ht="13.15">
      <c r="C121" s="52"/>
      <c r="D121" s="52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59999389629810485"/>
  </sheetPr>
  <dimension ref="A1:Z108"/>
  <sheetViews>
    <sheetView zoomScale="90" zoomScaleNormal="9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K22" sqref="K22"/>
    </sheetView>
  </sheetViews>
  <sheetFormatPr defaultColWidth="8" defaultRowHeight="12.75"/>
  <cols>
    <col min="1" max="1" width="8" style="7"/>
    <col min="2" max="2" width="39.73046875" style="15" customWidth="1"/>
    <col min="3" max="4" width="7.73046875" style="16" customWidth="1"/>
    <col min="5" max="5" width="13.59765625" style="7" customWidth="1"/>
    <col min="6" max="6" width="21.59765625" style="7" bestFit="1" customWidth="1"/>
    <col min="7" max="7" width="13.73046875" style="7" customWidth="1"/>
    <col min="8" max="8" width="21.59765625" style="7" bestFit="1" customWidth="1"/>
    <col min="9" max="9" width="13.73046875" style="7" customWidth="1"/>
    <col min="10" max="10" width="21.59765625" style="7" bestFit="1" customWidth="1"/>
    <col min="11" max="12" width="8" style="7"/>
    <col min="13" max="13" width="10.73046875" style="7" bestFit="1" customWidth="1"/>
    <col min="14" max="16384" width="8" style="7"/>
  </cols>
  <sheetData>
    <row r="1" spans="1:13" s="6" customFormat="1" ht="15.4" thickBot="1">
      <c r="A1" s="3" t="s">
        <v>69</v>
      </c>
      <c r="B1" s="4"/>
      <c r="C1" s="5" t="s">
        <v>20</v>
      </c>
      <c r="D1" s="5" t="s">
        <v>21</v>
      </c>
      <c r="E1" s="1" t="s">
        <v>78</v>
      </c>
      <c r="F1" s="2" t="s">
        <v>79</v>
      </c>
      <c r="G1" s="1" t="s">
        <v>80</v>
      </c>
      <c r="H1" s="2" t="s">
        <v>81</v>
      </c>
      <c r="I1" s="1" t="s">
        <v>161</v>
      </c>
      <c r="J1" s="2" t="s">
        <v>82</v>
      </c>
      <c r="K1" s="1" t="s">
        <v>160</v>
      </c>
    </row>
    <row r="2" spans="1:13" ht="14.25">
      <c r="B2" s="8" t="s">
        <v>98</v>
      </c>
      <c r="C2" s="9" t="s">
        <v>65</v>
      </c>
      <c r="D2" s="9"/>
      <c r="E2" s="62">
        <v>1509.3762999999999</v>
      </c>
      <c r="F2" s="62">
        <f>3145.506-E2</f>
        <v>1636.1297</v>
      </c>
      <c r="G2" s="62">
        <v>1845.2360000000001</v>
      </c>
      <c r="H2" s="62">
        <f>3752.17-G2</f>
        <v>1906.934</v>
      </c>
      <c r="I2" s="62">
        <v>2302.69</v>
      </c>
      <c r="J2" s="62">
        <f>4889.529-I2</f>
        <v>2586.8390000000004</v>
      </c>
      <c r="K2" s="62">
        <f>'[16] STB_FS_квартально'!M2+'[16] STB_FS_квартально'!N2</f>
        <v>2944.6660000000002</v>
      </c>
    </row>
    <row r="3" spans="1:13" ht="14.25">
      <c r="B3" s="11" t="s">
        <v>99</v>
      </c>
      <c r="C3" s="9" t="s">
        <v>65</v>
      </c>
      <c r="D3" s="9"/>
      <c r="E3" s="62">
        <v>-1238.5340000000001</v>
      </c>
      <c r="F3" s="62">
        <f>-2578.558-E3</f>
        <v>-1340.0239999999999</v>
      </c>
      <c r="G3" s="62">
        <v>-1463.46</v>
      </c>
      <c r="H3" s="62">
        <f>-2875.79-G3</f>
        <v>-1412.33</v>
      </c>
      <c r="I3" s="62">
        <v>-1534.39</v>
      </c>
      <c r="J3" s="62">
        <f>-3183.76-I3</f>
        <v>-1649.3700000000001</v>
      </c>
      <c r="K3" s="62">
        <f>'[16] STB_FS_квартально'!M3+'[16] STB_FS_квартально'!N3</f>
        <v>-1874.5309999999999</v>
      </c>
    </row>
    <row r="4" spans="1:13" ht="14.25">
      <c r="B4" s="47" t="s">
        <v>12</v>
      </c>
      <c r="C4" s="9" t="s">
        <v>65</v>
      </c>
      <c r="D4" s="9"/>
      <c r="E4" s="62">
        <f>SUM(E2:E3)</f>
        <v>270.8422999999998</v>
      </c>
      <c r="F4" s="62">
        <f>SUM(F2:F3)</f>
        <v>296.10570000000007</v>
      </c>
      <c r="G4" s="62">
        <f t="shared" ref="G4:J4" si="0">SUM(G2:G3)</f>
        <v>381.77600000000007</v>
      </c>
      <c r="H4" s="62">
        <f>SUM(H2:H3)</f>
        <v>494.60400000000004</v>
      </c>
      <c r="I4" s="62">
        <f t="shared" si="0"/>
        <v>768.3</v>
      </c>
      <c r="J4" s="62">
        <f t="shared" si="0"/>
        <v>937.46900000000028</v>
      </c>
      <c r="K4" s="62">
        <f>'[16] STB_FS_квартально'!M4+'[16] STB_FS_квартально'!N4</f>
        <v>1070.1350000000002</v>
      </c>
    </row>
    <row r="5" spans="1:13" ht="14.25">
      <c r="B5" s="11" t="s">
        <v>7</v>
      </c>
      <c r="C5" s="9" t="s">
        <v>65</v>
      </c>
      <c r="D5" s="9"/>
      <c r="E5" s="62"/>
      <c r="F5" s="62"/>
      <c r="G5" s="62"/>
      <c r="H5" s="62"/>
      <c r="I5" s="62"/>
      <c r="J5" s="62"/>
      <c r="K5" s="62">
        <f>'[16] STB_FS_квартально'!M5+'[16] STB_FS_квартально'!N5</f>
        <v>0</v>
      </c>
    </row>
    <row r="6" spans="1:13" ht="14.25">
      <c r="B6" s="11" t="s">
        <v>10</v>
      </c>
      <c r="C6" s="9" t="s">
        <v>65</v>
      </c>
      <c r="D6" s="9"/>
      <c r="E6" s="62">
        <v>-362.19200000000001</v>
      </c>
      <c r="F6" s="62">
        <f>-1192.03-E6</f>
        <v>-829.83799999999997</v>
      </c>
      <c r="G6" s="62">
        <v>-459.47699999999998</v>
      </c>
      <c r="H6" s="62">
        <f>-856.611-G6</f>
        <v>-397.13400000000001</v>
      </c>
      <c r="I6" s="62">
        <v>-571.17899999999997</v>
      </c>
      <c r="J6" s="62">
        <f>-1196.334-I6</f>
        <v>-625.15500000000009</v>
      </c>
      <c r="K6" s="62">
        <f>'[16] STB_FS_квартально'!M6+'[16] STB_FS_квартально'!N6</f>
        <v>-686.13099999999997</v>
      </c>
    </row>
    <row r="7" spans="1:13" ht="14.25">
      <c r="B7" s="11" t="s">
        <v>9</v>
      </c>
      <c r="C7" s="9" t="s">
        <v>65</v>
      </c>
      <c r="D7" s="9"/>
      <c r="E7" s="62"/>
      <c r="F7" s="62"/>
      <c r="G7" s="62"/>
      <c r="H7" s="62"/>
      <c r="I7" s="62"/>
      <c r="J7" s="62"/>
      <c r="K7" s="62">
        <f>'[16] STB_FS_квартально'!M7+'[16] STB_FS_квартально'!N7</f>
        <v>0</v>
      </c>
    </row>
    <row r="8" spans="1:13" ht="14.25">
      <c r="B8" s="11" t="s">
        <v>11</v>
      </c>
      <c r="C8" s="9" t="s">
        <v>65</v>
      </c>
      <c r="D8" s="9"/>
      <c r="E8" s="62"/>
      <c r="F8" s="62">
        <v>-51.875</v>
      </c>
      <c r="G8" s="62"/>
      <c r="H8" s="62">
        <v>-35.567</v>
      </c>
      <c r="I8" s="62"/>
      <c r="J8" s="62">
        <v>-135.35</v>
      </c>
      <c r="K8" s="62">
        <f>'[16] STB_FS_квартально'!M8+'[16] STB_FS_квартально'!N8</f>
        <v>0</v>
      </c>
    </row>
    <row r="9" spans="1:13" ht="14.25">
      <c r="B9" s="47" t="s">
        <v>67</v>
      </c>
      <c r="C9" s="9" t="s">
        <v>65</v>
      </c>
      <c r="D9" s="9"/>
      <c r="E9" s="63">
        <f>SUM(E4:E8)</f>
        <v>-91.349700000000212</v>
      </c>
      <c r="F9" s="63">
        <f>SUM(F4:F8)</f>
        <v>-585.6072999999999</v>
      </c>
      <c r="G9" s="63">
        <f t="shared" ref="G9:J9" si="1">SUM(G4:G8)</f>
        <v>-77.700999999999908</v>
      </c>
      <c r="H9" s="63">
        <f t="shared" si="1"/>
        <v>61.903000000000027</v>
      </c>
      <c r="I9" s="63">
        <f t="shared" si="1"/>
        <v>197.12099999999998</v>
      </c>
      <c r="J9" s="63">
        <f t="shared" si="1"/>
        <v>176.9640000000002</v>
      </c>
      <c r="K9" s="63">
        <f>'[16] STB_FS_квартально'!M9+'[16] STB_FS_квартально'!N9</f>
        <v>384.00400000000025</v>
      </c>
    </row>
    <row r="10" spans="1:13">
      <c r="B10" s="18"/>
      <c r="C10" s="9"/>
      <c r="D10" s="9"/>
    </row>
    <row r="11" spans="1:13" s="6" customFormat="1" ht="15.4" thickBot="1">
      <c r="A11" s="3" t="s">
        <v>68</v>
      </c>
      <c r="B11" s="4"/>
      <c r="C11" s="5" t="s">
        <v>20</v>
      </c>
      <c r="D11" s="5" t="s">
        <v>21</v>
      </c>
      <c r="E11" s="1" t="s">
        <v>78</v>
      </c>
      <c r="F11" s="2" t="s">
        <v>79</v>
      </c>
      <c r="G11" s="1" t="s">
        <v>80</v>
      </c>
      <c r="H11" s="2" t="s">
        <v>81</v>
      </c>
      <c r="I11" s="1" t="s">
        <v>161</v>
      </c>
      <c r="J11" s="2" t="s">
        <v>82</v>
      </c>
      <c r="K11" s="1" t="s">
        <v>160</v>
      </c>
    </row>
    <row r="12" spans="1:13" ht="13.15">
      <c r="B12" s="11" t="s">
        <v>29</v>
      </c>
      <c r="C12" s="9" t="s">
        <v>65</v>
      </c>
      <c r="D12" s="46"/>
      <c r="E12" s="101">
        <v>454</v>
      </c>
      <c r="F12" s="101">
        <v>439</v>
      </c>
      <c r="G12" s="101">
        <v>347</v>
      </c>
      <c r="H12" s="101">
        <v>328</v>
      </c>
      <c r="I12" s="101">
        <v>282</v>
      </c>
      <c r="J12" s="101">
        <v>310</v>
      </c>
      <c r="K12" s="7">
        <v>340</v>
      </c>
      <c r="M12" s="48"/>
    </row>
    <row r="13" spans="1:13">
      <c r="B13" s="11" t="s">
        <v>25</v>
      </c>
      <c r="C13" s="9" t="s">
        <v>65</v>
      </c>
      <c r="D13" s="9"/>
      <c r="E13" s="101">
        <v>322</v>
      </c>
      <c r="F13" s="101">
        <v>526</v>
      </c>
      <c r="G13" s="101">
        <v>260</v>
      </c>
      <c r="H13" s="101">
        <v>502.7</v>
      </c>
      <c r="I13" s="101">
        <v>651</v>
      </c>
      <c r="J13" s="101">
        <v>675</v>
      </c>
      <c r="K13" s="7">
        <v>1084</v>
      </c>
    </row>
    <row r="14" spans="1:13">
      <c r="B14" s="98" t="s">
        <v>30</v>
      </c>
      <c r="C14" s="9" t="s">
        <v>65</v>
      </c>
      <c r="D14" s="9"/>
      <c r="E14" s="101">
        <v>262</v>
      </c>
      <c r="F14" s="101">
        <v>259</v>
      </c>
      <c r="G14" s="101">
        <f>1499-1121</f>
        <v>378</v>
      </c>
      <c r="H14" s="101">
        <v>374</v>
      </c>
      <c r="I14" s="101">
        <f>1493-1253</f>
        <v>240</v>
      </c>
      <c r="J14" s="101">
        <v>264.09999999999991</v>
      </c>
      <c r="K14" s="7">
        <v>210</v>
      </c>
    </row>
    <row r="15" spans="1:13">
      <c r="B15" s="11" t="s">
        <v>31</v>
      </c>
      <c r="C15" s="9" t="s">
        <v>65</v>
      </c>
      <c r="D15" s="9"/>
      <c r="E15" s="101">
        <v>11</v>
      </c>
      <c r="F15" s="101"/>
      <c r="G15" s="101"/>
      <c r="H15" s="101"/>
      <c r="I15" s="101"/>
      <c r="J15" s="101"/>
    </row>
    <row r="16" spans="1:13">
      <c r="B16" s="11" t="s">
        <v>32</v>
      </c>
      <c r="C16" s="9" t="s">
        <v>65</v>
      </c>
      <c r="D16" s="9"/>
      <c r="E16" s="101">
        <v>1.2</v>
      </c>
      <c r="F16" s="101">
        <v>17</v>
      </c>
      <c r="G16" s="101">
        <v>22.9</v>
      </c>
      <c r="H16" s="101">
        <v>14.1</v>
      </c>
      <c r="I16" s="101">
        <v>12.6</v>
      </c>
      <c r="J16" s="101">
        <v>13</v>
      </c>
      <c r="K16" s="7">
        <v>57.6</v>
      </c>
    </row>
    <row r="17" spans="1:24" ht="13.15">
      <c r="B17" s="47" t="s">
        <v>34</v>
      </c>
      <c r="C17" s="9" t="s">
        <v>65</v>
      </c>
      <c r="D17" s="9"/>
      <c r="E17" s="103">
        <f t="shared" ref="E17" si="2">SUM(E12:E16)</f>
        <v>1050.2</v>
      </c>
      <c r="F17" s="103">
        <f>SUM(F12:F16)</f>
        <v>1241</v>
      </c>
      <c r="G17" s="103">
        <f t="shared" ref="G17:K17" si="3">SUM(G12:G16)</f>
        <v>1007.9</v>
      </c>
      <c r="H17" s="103">
        <f t="shared" si="3"/>
        <v>1218.8</v>
      </c>
      <c r="I17" s="103">
        <f t="shared" si="3"/>
        <v>1185.5999999999999</v>
      </c>
      <c r="J17" s="103">
        <f t="shared" si="3"/>
        <v>1262.0999999999999</v>
      </c>
      <c r="K17" s="103">
        <f t="shared" si="3"/>
        <v>1691.6</v>
      </c>
    </row>
    <row r="18" spans="1:24" ht="13.15">
      <c r="B18" s="35"/>
      <c r="C18" s="9"/>
      <c r="D18" s="9"/>
      <c r="E18" s="103"/>
      <c r="F18" s="103"/>
      <c r="G18" s="103"/>
      <c r="H18" s="103"/>
      <c r="I18" s="102"/>
      <c r="J18" s="102"/>
    </row>
    <row r="19" spans="1:24" s="6" customFormat="1" ht="15.4" thickBot="1">
      <c r="A19" s="3" t="s">
        <v>62</v>
      </c>
      <c r="B19" s="4"/>
      <c r="C19" s="5" t="s">
        <v>20</v>
      </c>
      <c r="D19" s="5" t="s">
        <v>21</v>
      </c>
      <c r="E19" s="68" t="s">
        <v>78</v>
      </c>
      <c r="F19" s="69" t="s">
        <v>79</v>
      </c>
      <c r="G19" s="68" t="s">
        <v>80</v>
      </c>
      <c r="H19" s="69" t="s">
        <v>81</v>
      </c>
      <c r="I19" s="68" t="s">
        <v>161</v>
      </c>
      <c r="J19" s="69" t="s">
        <v>82</v>
      </c>
      <c r="K19" s="1" t="s">
        <v>160</v>
      </c>
    </row>
    <row r="20" spans="1:24" ht="16.350000000000001" customHeight="1">
      <c r="B20" s="84" t="s">
        <v>145</v>
      </c>
      <c r="C20" s="85" t="s">
        <v>65</v>
      </c>
      <c r="D20" s="85"/>
      <c r="E20" s="90"/>
      <c r="F20" s="90"/>
      <c r="G20" s="90">
        <f>'[16] STB_FS_квартально'!E12+'[16] STB_FS_квартально'!F12</f>
        <v>4.2430000000000021</v>
      </c>
      <c r="H20" s="90">
        <f>'[16] STB_FS_квартально'!G12+'[16] STB_FS_квартально'!H12</f>
        <v>94.109000000000009</v>
      </c>
      <c r="I20" s="90">
        <f>'[16] STB_FS_квартально'!I12+'[16] STB_FS_квартально'!J12</f>
        <v>34.47</v>
      </c>
      <c r="J20" s="90">
        <f>'[16] STB_FS_квартально'!K12+'[16] STB_FS_квартально'!L12</f>
        <v>112.98800000000001</v>
      </c>
      <c r="K20" s="90">
        <f>'[16] STB_FS_квартально'!M12+'[16] STB_FS_квартально'!N12</f>
        <v>-38.58</v>
      </c>
      <c r="L20" s="90"/>
      <c r="M20" s="55"/>
    </row>
    <row r="21" spans="1:24" ht="16.350000000000001" customHeight="1">
      <c r="B21" s="84" t="s">
        <v>128</v>
      </c>
      <c r="C21" s="85" t="s">
        <v>65</v>
      </c>
      <c r="D21" s="85"/>
      <c r="E21" s="90"/>
      <c r="F21" s="90"/>
      <c r="G21" s="90">
        <f>'[16] STB_FS_квартально'!E13+'[16] STB_FS_квартально'!F13</f>
        <v>139.11199999999999</v>
      </c>
      <c r="H21" s="90">
        <f>'[16] STB_FS_квартально'!G13+'[16] STB_FS_квартально'!H13</f>
        <v>76.174000000000007</v>
      </c>
      <c r="I21" s="90">
        <f>'[16] STB_FS_квартально'!I13+'[16] STB_FS_квартально'!J13</f>
        <v>140.755</v>
      </c>
      <c r="J21" s="90">
        <f>'[16] STB_FS_квартально'!K13+'[16] STB_FS_квартально'!L13</f>
        <v>79.075000000000017</v>
      </c>
      <c r="K21" s="90">
        <f>'[16] STB_FS_квартально'!M13+'[16] STB_FS_квартально'!N13</f>
        <v>145.9</v>
      </c>
      <c r="L21" s="90"/>
      <c r="M21" s="55"/>
    </row>
    <row r="22" spans="1:24" ht="16.350000000000001" customHeight="1">
      <c r="B22" s="84" t="s">
        <v>144</v>
      </c>
      <c r="C22" s="85" t="s">
        <v>65</v>
      </c>
      <c r="D22" s="85"/>
      <c r="E22" s="90"/>
      <c r="F22" s="90"/>
      <c r="G22" s="90">
        <f>'[16] STB_FS_квартально'!E14+'[16] STB_FS_квартально'!F14</f>
        <v>29.645</v>
      </c>
      <c r="H22" s="90">
        <f>'[16] STB_FS_квартально'!G14+'[16] STB_FS_квартально'!H14</f>
        <v>24.145999999999997</v>
      </c>
      <c r="I22" s="90">
        <f>'[16] STB_FS_квартально'!I14+'[16] STB_FS_квартально'!J14</f>
        <v>22.67</v>
      </c>
      <c r="J22" s="90">
        <f>'[16] STB_FS_квартально'!K14+'[16] STB_FS_квартально'!L14</f>
        <v>14.318999999999996</v>
      </c>
      <c r="K22" s="90">
        <f>'[16] STB_FS_квартально'!M14+'[16] STB_FS_квартально'!N14</f>
        <v>81.33</v>
      </c>
      <c r="L22" s="90"/>
      <c r="M22" s="55"/>
    </row>
    <row r="23" spans="1:24" ht="16.350000000000001" customHeight="1">
      <c r="B23" s="84" t="s">
        <v>142</v>
      </c>
      <c r="C23" s="85" t="s">
        <v>65</v>
      </c>
      <c r="D23" s="85"/>
      <c r="E23" s="90"/>
      <c r="F23" s="90"/>
      <c r="G23" s="90">
        <f>'[16] STB_FS_квартально'!E15+'[16] STB_FS_квартально'!F15</f>
        <v>-419.40100000000001</v>
      </c>
      <c r="H23" s="90">
        <f>'[16] STB_FS_квартально'!G15+'[16] STB_FS_квартально'!H15</f>
        <v>473.19199999999995</v>
      </c>
      <c r="I23" s="90">
        <f>'[16] STB_FS_квартально'!I15+'[16] STB_FS_квартально'!J15</f>
        <v>36.286999999999999</v>
      </c>
      <c r="J23" s="90">
        <f>'[16] STB_FS_квартально'!K15+'[16] STB_FS_квартально'!L15</f>
        <v>56.017000000000003</v>
      </c>
      <c r="K23" s="90">
        <f>'[16] STB_FS_квартально'!M15+'[16] STB_FS_квартально'!N15</f>
        <v>77.75</v>
      </c>
      <c r="L23" s="90"/>
      <c r="M23" s="55"/>
    </row>
    <row r="24" spans="1:24" ht="16.350000000000001" customHeight="1">
      <c r="B24" s="11" t="s">
        <v>64</v>
      </c>
      <c r="C24" s="9" t="s">
        <v>65</v>
      </c>
      <c r="D24" s="46"/>
      <c r="E24" s="90"/>
      <c r="F24" s="90"/>
      <c r="G24" s="90">
        <f>'[16] STB_FS_квартально'!E16+'[16] STB_FS_квартально'!F16</f>
        <v>117.44000000000001</v>
      </c>
      <c r="H24" s="90">
        <f>'[16] STB_FS_квартально'!G16+'[16] STB_FS_квартально'!H16</f>
        <v>-381.21699999999998</v>
      </c>
      <c r="I24" s="90">
        <f>'[16] STB_FS_квартально'!I16+'[16] STB_FS_квартально'!J16</f>
        <v>108.87400000000002</v>
      </c>
      <c r="J24" s="90">
        <f>'[16] STB_FS_квартально'!K16+'[16] STB_FS_квартально'!L16</f>
        <v>36.49099999999995</v>
      </c>
      <c r="K24" s="90">
        <f>'[16] STB_FS_квартально'!M16+'[16] STB_FS_квартально'!N16</f>
        <v>75.900000000000006</v>
      </c>
      <c r="L24" s="90"/>
      <c r="M24" s="55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ht="16.350000000000001" customHeight="1">
      <c r="B25" s="14" t="s">
        <v>0</v>
      </c>
      <c r="C25" s="9" t="s">
        <v>65</v>
      </c>
      <c r="D25" s="9"/>
      <c r="E25" s="91">
        <f>SUM(E20:E24)</f>
        <v>0</v>
      </c>
      <c r="F25" s="91">
        <f t="shared" ref="F25:K25" si="4">SUM(F20:F24)</f>
        <v>0</v>
      </c>
      <c r="G25" s="91">
        <f t="shared" si="4"/>
        <v>-128.96100000000001</v>
      </c>
      <c r="H25" s="91">
        <f t="shared" si="4"/>
        <v>286.404</v>
      </c>
      <c r="I25" s="91">
        <f t="shared" si="4"/>
        <v>343.05600000000004</v>
      </c>
      <c r="J25" s="91">
        <f t="shared" si="4"/>
        <v>298.89</v>
      </c>
      <c r="K25" s="91">
        <f t="shared" si="4"/>
        <v>342.29999999999995</v>
      </c>
      <c r="L25" s="90"/>
      <c r="M25" s="55"/>
    </row>
    <row r="26" spans="1:24" ht="13.15">
      <c r="B26" s="35"/>
      <c r="C26" s="9"/>
      <c r="D26" s="9"/>
      <c r="E26" s="36"/>
      <c r="F26" s="36"/>
      <c r="G26" s="36"/>
      <c r="H26" s="36"/>
      <c r="I26" s="36"/>
      <c r="J26" s="36"/>
    </row>
    <row r="27" spans="1:24" s="6" customFormat="1" ht="15.4" thickBot="1">
      <c r="A27" s="3" t="s">
        <v>43</v>
      </c>
      <c r="B27" s="4"/>
      <c r="C27" s="5" t="s">
        <v>20</v>
      </c>
      <c r="D27" s="5" t="s">
        <v>21</v>
      </c>
      <c r="E27" s="1" t="s">
        <v>78</v>
      </c>
      <c r="F27" s="2" t="s">
        <v>79</v>
      </c>
      <c r="G27" s="1" t="s">
        <v>80</v>
      </c>
      <c r="H27" s="2" t="s">
        <v>81</v>
      </c>
      <c r="I27" s="1" t="s">
        <v>161</v>
      </c>
      <c r="J27" s="2" t="s">
        <v>82</v>
      </c>
      <c r="K27" s="1" t="s">
        <v>160</v>
      </c>
    </row>
    <row r="28" spans="1:24">
      <c r="B28" s="8" t="s">
        <v>44</v>
      </c>
      <c r="C28" s="9" t="s">
        <v>65</v>
      </c>
      <c r="D28" s="9"/>
      <c r="E28" s="101">
        <v>21</v>
      </c>
      <c r="F28" s="101">
        <v>140</v>
      </c>
      <c r="G28" s="101">
        <f>118.1+56</f>
        <v>174.1</v>
      </c>
      <c r="H28" s="101">
        <v>263</v>
      </c>
      <c r="I28" s="101">
        <v>126.4</v>
      </c>
      <c r="J28" s="101">
        <v>213.2</v>
      </c>
      <c r="K28" s="7">
        <v>207</v>
      </c>
    </row>
    <row r="29" spans="1:24">
      <c r="B29" s="11" t="s">
        <v>45</v>
      </c>
      <c r="C29" s="9" t="s">
        <v>65</v>
      </c>
      <c r="D29" s="9"/>
      <c r="E29" s="101"/>
      <c r="F29" s="101"/>
      <c r="G29" s="101"/>
      <c r="H29" s="101"/>
      <c r="I29" s="101"/>
      <c r="J29" s="101"/>
    </row>
    <row r="30" spans="1:24">
      <c r="B30" s="109" t="s">
        <v>46</v>
      </c>
      <c r="C30" s="9" t="s">
        <v>65</v>
      </c>
      <c r="D30" s="9"/>
      <c r="E30" s="101"/>
      <c r="F30" s="101"/>
      <c r="G30" s="101"/>
      <c r="H30" s="101"/>
      <c r="I30" s="101"/>
      <c r="J30" s="101"/>
      <c r="K30" s="7">
        <v>192</v>
      </c>
    </row>
    <row r="31" spans="1:24" s="74" customFormat="1" ht="13.15">
      <c r="B31" s="99" t="s">
        <v>47</v>
      </c>
      <c r="C31" s="76" t="s">
        <v>65</v>
      </c>
      <c r="D31" s="76"/>
      <c r="E31" s="110">
        <f t="shared" ref="E31" si="5">SUM(E28:E30)</f>
        <v>21</v>
      </c>
      <c r="F31" s="110">
        <f>SUM(F28:F30)</f>
        <v>140</v>
      </c>
      <c r="G31" s="110">
        <f t="shared" ref="G31:J31" si="6">SUM(G28:G30)</f>
        <v>174.1</v>
      </c>
      <c r="H31" s="110">
        <f t="shared" si="6"/>
        <v>263</v>
      </c>
      <c r="I31" s="110">
        <f t="shared" si="6"/>
        <v>126.4</v>
      </c>
      <c r="J31" s="110">
        <f t="shared" si="6"/>
        <v>213.2</v>
      </c>
    </row>
    <row r="32" spans="1:24">
      <c r="B32" s="11" t="s">
        <v>48</v>
      </c>
      <c r="C32" s="9" t="s">
        <v>65</v>
      </c>
      <c r="D32" s="9"/>
      <c r="E32" s="101"/>
      <c r="F32" s="101"/>
      <c r="G32" s="101"/>
      <c r="H32" s="101"/>
      <c r="I32" s="101"/>
      <c r="J32" s="101"/>
    </row>
    <row r="33" spans="1:26">
      <c r="B33" s="11" t="s">
        <v>49</v>
      </c>
      <c r="C33" s="9" t="s">
        <v>65</v>
      </c>
      <c r="D33" s="17"/>
      <c r="E33" s="101"/>
      <c r="F33" s="101">
        <v>1228</v>
      </c>
      <c r="G33" s="101">
        <f>1182.4-G34</f>
        <v>1048.4000000000001</v>
      </c>
      <c r="H33" s="101">
        <v>1331.8</v>
      </c>
      <c r="I33" s="101">
        <f>1461.9-I34</f>
        <v>1434.2</v>
      </c>
      <c r="J33" s="101">
        <v>1503.4</v>
      </c>
      <c r="K33" s="7">
        <v>1347</v>
      </c>
      <c r="M33" s="48"/>
    </row>
    <row r="34" spans="1:26" ht="13.15">
      <c r="B34" s="11" t="s">
        <v>50</v>
      </c>
      <c r="C34" s="9" t="s">
        <v>65</v>
      </c>
      <c r="D34" s="46"/>
      <c r="E34" s="101"/>
      <c r="F34" s="101">
        <v>168</v>
      </c>
      <c r="G34" s="101">
        <v>134</v>
      </c>
      <c r="H34" s="101">
        <v>23.7</v>
      </c>
      <c r="I34" s="101">
        <v>27.7</v>
      </c>
      <c r="J34" s="101">
        <v>43.2</v>
      </c>
      <c r="K34" s="7">
        <v>39</v>
      </c>
    </row>
    <row r="35" spans="1:26">
      <c r="B35" s="11" t="s">
        <v>52</v>
      </c>
      <c r="C35" s="9" t="s">
        <v>65</v>
      </c>
      <c r="D35" s="9"/>
      <c r="E35" s="101"/>
      <c r="F35" s="101"/>
      <c r="G35" s="101"/>
      <c r="H35" s="101"/>
      <c r="I35" s="101"/>
      <c r="J35" s="101"/>
    </row>
    <row r="36" spans="1:26">
      <c r="B36" s="11" t="s">
        <v>51</v>
      </c>
      <c r="C36" s="9" t="s">
        <v>65</v>
      </c>
      <c r="D36" s="9"/>
      <c r="E36" s="101"/>
      <c r="F36" s="101">
        <v>234.4</v>
      </c>
      <c r="G36" s="101">
        <v>185</v>
      </c>
      <c r="H36" s="101">
        <v>127.6</v>
      </c>
      <c r="I36" s="101">
        <v>187</v>
      </c>
      <c r="J36" s="101">
        <v>231.7</v>
      </c>
      <c r="K36" s="133">
        <f>146.7+100</f>
        <v>246.7</v>
      </c>
    </row>
    <row r="37" spans="1:26">
      <c r="B37" s="11" t="s">
        <v>53</v>
      </c>
      <c r="C37" s="9" t="s">
        <v>65</v>
      </c>
      <c r="D37" s="9"/>
      <c r="E37" s="101">
        <f t="shared" ref="E37" si="7">E38-E33-E34-E36</f>
        <v>0</v>
      </c>
      <c r="F37" s="101">
        <f>F38-F33-F34-F36</f>
        <v>53.000000000000085</v>
      </c>
      <c r="G37" s="101">
        <f t="shared" ref="G37:J37" si="8">G38-G33-G34-G36</f>
        <v>49.599999999999909</v>
      </c>
      <c r="H37" s="101">
        <f t="shared" si="8"/>
        <v>60.499999999999972</v>
      </c>
      <c r="I37" s="101">
        <f t="shared" si="8"/>
        <v>28.099999999999966</v>
      </c>
      <c r="J37" s="101">
        <f t="shared" si="8"/>
        <v>52.499999999999886</v>
      </c>
      <c r="K37" s="7">
        <v>21.2</v>
      </c>
    </row>
    <row r="38" spans="1:26" s="74" customFormat="1" ht="13.15">
      <c r="B38" s="99" t="s">
        <v>54</v>
      </c>
      <c r="C38" s="76" t="s">
        <v>65</v>
      </c>
      <c r="D38" s="76"/>
      <c r="E38" s="110"/>
      <c r="F38" s="110">
        <v>1683.4</v>
      </c>
      <c r="G38" s="110">
        <f>2926-1119-420+30</f>
        <v>1417</v>
      </c>
      <c r="H38" s="110">
        <v>1543.6</v>
      </c>
      <c r="I38" s="110">
        <f>3390-459-1254</f>
        <v>1677</v>
      </c>
      <c r="J38" s="110">
        <v>1830.8</v>
      </c>
      <c r="K38" s="110">
        <f>SUM(K28:K37)</f>
        <v>2052.9</v>
      </c>
    </row>
    <row r="39" spans="1:26" ht="13.15">
      <c r="B39" s="14" t="s">
        <v>70</v>
      </c>
      <c r="C39" s="9" t="s">
        <v>65</v>
      </c>
      <c r="D39" s="9"/>
      <c r="E39" s="103">
        <f t="shared" ref="E39" si="9">E31+E38</f>
        <v>21</v>
      </c>
      <c r="F39" s="103">
        <f>F31+F38</f>
        <v>1823.4</v>
      </c>
      <c r="G39" s="103">
        <f t="shared" ref="G39:K39" si="10">G31+G38</f>
        <v>1591.1</v>
      </c>
      <c r="H39" s="103">
        <f t="shared" si="10"/>
        <v>1806.6</v>
      </c>
      <c r="I39" s="103">
        <f t="shared" si="10"/>
        <v>1803.4</v>
      </c>
      <c r="J39" s="103">
        <f t="shared" si="10"/>
        <v>2044</v>
      </c>
      <c r="K39" s="103">
        <f t="shared" si="10"/>
        <v>2052.9</v>
      </c>
    </row>
    <row r="40" spans="1:26" ht="13.15">
      <c r="B40" s="35"/>
      <c r="C40" s="9"/>
      <c r="D40" s="9"/>
      <c r="E40" s="34"/>
      <c r="F40" s="34"/>
      <c r="G40" s="34"/>
      <c r="H40" s="34"/>
    </row>
    <row r="41" spans="1:26" s="6" customFormat="1" ht="15.4" thickBot="1">
      <c r="A41" s="3" t="s">
        <v>63</v>
      </c>
      <c r="B41" s="4"/>
      <c r="C41" s="5" t="s">
        <v>20</v>
      </c>
      <c r="D41" s="5" t="s">
        <v>21</v>
      </c>
      <c r="E41" s="1" t="s">
        <v>78</v>
      </c>
      <c r="F41" s="2" t="s">
        <v>79</v>
      </c>
      <c r="G41" s="1" t="s">
        <v>80</v>
      </c>
      <c r="H41" s="2" t="s">
        <v>81</v>
      </c>
      <c r="I41" s="1" t="s">
        <v>161</v>
      </c>
      <c r="J41" s="2" t="s">
        <v>82</v>
      </c>
      <c r="K41" s="1" t="s">
        <v>160</v>
      </c>
    </row>
    <row r="42" spans="1:26">
      <c r="B42" s="111" t="str">
        <f>'[16] STB_FS_квартально'!B20</f>
        <v>ChSK "Shabakahoi intikoli bark"</v>
      </c>
      <c r="C42" s="112" t="s">
        <v>65</v>
      </c>
      <c r="D42" s="112"/>
      <c r="E42" s="101">
        <v>698</v>
      </c>
      <c r="F42" s="101">
        <v>568</v>
      </c>
      <c r="G42" s="101">
        <f>'[16] STB_FS_квартально'!F20</f>
        <v>739</v>
      </c>
      <c r="H42" s="101">
        <f>'[16] STB_FS_квартально'!H20</f>
        <v>856</v>
      </c>
      <c r="I42" s="101">
        <f>'[16] STB_FS_квартально'!J20</f>
        <v>1020</v>
      </c>
      <c r="J42" s="101">
        <f>'[16] STB_FS_квартально'!L20</f>
        <v>1171</v>
      </c>
    </row>
    <row r="43" spans="1:26">
      <c r="B43" s="111" t="str">
        <f>'[16] STB_FS_квартально'!B21</f>
        <v>SHSHK "Barki Tojik"</v>
      </c>
      <c r="C43" s="112" t="s">
        <v>65</v>
      </c>
      <c r="D43" s="112"/>
      <c r="E43" s="101"/>
      <c r="F43" s="101">
        <v>465</v>
      </c>
      <c r="G43" s="101">
        <f>'[16] STB_FS_квартально'!F21</f>
        <v>167</v>
      </c>
      <c r="H43" s="101">
        <f>'[16] STB_FS_квартально'!H21</f>
        <v>308</v>
      </c>
      <c r="I43" s="101">
        <f>'[16] STB_FS_квартально'!J21</f>
        <v>209</v>
      </c>
      <c r="J43" s="101">
        <f>'[16] STB_FS_квартально'!L21</f>
        <v>117</v>
      </c>
    </row>
    <row r="44" spans="1:26">
      <c r="B44" s="111" t="str">
        <f>'[16] STB_FS_квартально'!B22</f>
        <v>Nokili Talko</v>
      </c>
      <c r="C44" s="112" t="s">
        <v>65</v>
      </c>
      <c r="D44" s="113"/>
      <c r="E44" s="101"/>
      <c r="F44" s="101"/>
      <c r="G44" s="101">
        <f>'[16] STB_FS_квартально'!F22</f>
        <v>17</v>
      </c>
      <c r="H44" s="101">
        <f>'[16] STB_FS_квартально'!H22</f>
        <v>9.6</v>
      </c>
      <c r="I44" s="101">
        <f>'[16] STB_FS_квартально'!J22</f>
        <v>9.6</v>
      </c>
      <c r="J44" s="101">
        <f>'[16] STB_FS_квартально'!L22</f>
        <v>8.4</v>
      </c>
    </row>
    <row r="45" spans="1:26" ht="13.15">
      <c r="B45" s="111" t="str">
        <f>'[16] STB_FS_квартально'!B23</f>
        <v>JSC Transformer</v>
      </c>
      <c r="C45" s="112" t="s">
        <v>65</v>
      </c>
      <c r="D45" s="114"/>
      <c r="E45" s="101"/>
      <c r="F45" s="101"/>
      <c r="G45" s="101">
        <f>'[16] STB_FS_квартально'!F23</f>
        <v>12.7</v>
      </c>
      <c r="H45" s="101">
        <f>'[16] STB_FS_квартально'!H23</f>
        <v>12.7</v>
      </c>
      <c r="I45" s="101">
        <f>'[16] STB_FS_квартально'!J23</f>
        <v>5.2</v>
      </c>
      <c r="J45" s="101">
        <f>'[16] STB_FS_квартально'!L23</f>
        <v>4.5</v>
      </c>
    </row>
    <row r="46" spans="1:26" ht="13.15">
      <c r="B46" s="111" t="str">
        <f>'[16] STB_FS_квартально'!B24</f>
        <v>ChSK "Somon Kulob - tachkhizot"</v>
      </c>
      <c r="C46" s="112" t="s">
        <v>65</v>
      </c>
      <c r="D46" s="114"/>
      <c r="E46" s="101"/>
      <c r="F46" s="101"/>
      <c r="G46" s="101">
        <f>'[16] STB_FS_квартально'!F24</f>
        <v>4.9000000000000004</v>
      </c>
      <c r="H46" s="101">
        <f>'[16] STB_FS_квартально'!H24</f>
        <v>4.0999999999999996</v>
      </c>
      <c r="I46" s="101">
        <f>'[16] STB_FS_квартально'!J24</f>
        <v>4.0999999999999996</v>
      </c>
      <c r="J46" s="101">
        <f>'[16] STB_FS_квартально'!L24</f>
        <v>2.1</v>
      </c>
    </row>
    <row r="47" spans="1:26" ht="13.15">
      <c r="B47" s="109" t="s">
        <v>64</v>
      </c>
      <c r="C47" s="112" t="s">
        <v>65</v>
      </c>
      <c r="D47" s="114"/>
      <c r="E47" s="101"/>
      <c r="F47" s="101"/>
      <c r="G47" s="101">
        <f>'[16] STB_FS_квартально'!F25</f>
        <v>241.4</v>
      </c>
      <c r="H47" s="101">
        <f>'[16] STB_FS_квартально'!H25</f>
        <v>317.59999999999997</v>
      </c>
      <c r="I47" s="101">
        <f>'[16] STB_FS_квартально'!J25</f>
        <v>213.10000000000002</v>
      </c>
      <c r="J47" s="101">
        <f>'[16] STB_FS_квартально'!L25</f>
        <v>243</v>
      </c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3.15">
      <c r="B48" s="115" t="s">
        <v>0</v>
      </c>
      <c r="C48" s="112" t="s">
        <v>65</v>
      </c>
      <c r="D48" s="112"/>
      <c r="E48" s="103"/>
      <c r="F48" s="103"/>
      <c r="G48" s="101">
        <f>'[16] STB_FS_квартально'!F26</f>
        <v>1182</v>
      </c>
      <c r="H48" s="101">
        <f>'[16] STB_FS_квартально'!H26</f>
        <v>1508</v>
      </c>
      <c r="I48" s="101">
        <f>'[16] STB_FS_квартально'!J26</f>
        <v>1461</v>
      </c>
      <c r="J48" s="101">
        <f>'[16] STB_FS_квартально'!L26</f>
        <v>1546</v>
      </c>
    </row>
    <row r="49" spans="1:14">
      <c r="B49" s="116"/>
      <c r="C49" s="112"/>
      <c r="D49" s="112"/>
      <c r="E49" s="102"/>
      <c r="F49" s="102"/>
      <c r="G49" s="102"/>
      <c r="H49" s="102"/>
      <c r="I49" s="102"/>
      <c r="J49" s="102"/>
    </row>
    <row r="50" spans="1:14" s="6" customFormat="1" ht="15.4" thickBot="1">
      <c r="A50" s="3" t="s">
        <v>36</v>
      </c>
      <c r="B50" s="49"/>
      <c r="C50" s="5" t="s">
        <v>20</v>
      </c>
      <c r="D50" s="5" t="s">
        <v>21</v>
      </c>
      <c r="E50" s="1" t="s">
        <v>78</v>
      </c>
      <c r="F50" s="2" t="s">
        <v>79</v>
      </c>
      <c r="G50" s="1" t="s">
        <v>80</v>
      </c>
      <c r="H50" s="2" t="s">
        <v>81</v>
      </c>
      <c r="I50" s="1" t="s">
        <v>161</v>
      </c>
      <c r="J50" s="2" t="s">
        <v>82</v>
      </c>
      <c r="K50" s="1" t="s">
        <v>160</v>
      </c>
      <c r="L50" s="2"/>
      <c r="M50" s="1"/>
      <c r="N50" s="2"/>
    </row>
    <row r="51" spans="1:14">
      <c r="B51" s="111" t="s">
        <v>37</v>
      </c>
      <c r="C51" s="112" t="s">
        <v>65</v>
      </c>
      <c r="D51" s="112"/>
      <c r="E51" s="104">
        <v>1578.3783783783783</v>
      </c>
      <c r="F51" s="104">
        <v>1341.6216216216217</v>
      </c>
      <c r="G51" s="104">
        <f>'[16] STB_FS_квартально'!E29+'[16] STB_FS_квартально'!F29</f>
        <v>2132.1</v>
      </c>
      <c r="H51" s="104">
        <f>'[16] STB_FS_квартально'!G29+'[16] STB_FS_квартально'!H29</f>
        <v>1720.4</v>
      </c>
      <c r="I51" s="105">
        <f>'[16] STB_FS_квартально'!I29+'[16] STB_FS_квартально'!J29</f>
        <v>2063.5</v>
      </c>
      <c r="J51" s="105">
        <f>'[16] STB_FS_квартально'!K29+'[16] STB_FS_квартально'!L29</f>
        <v>2481.8000000000002</v>
      </c>
      <c r="K51" s="105">
        <f>'[16] STB_FS_квартально'!N29+'[16] STB_FS_квартально'!M29</f>
        <v>2866</v>
      </c>
      <c r="L51" s="93"/>
    </row>
    <row r="52" spans="1:14">
      <c r="B52" s="109" t="s">
        <v>38</v>
      </c>
      <c r="C52" s="112" t="s">
        <v>65</v>
      </c>
      <c r="D52" s="112"/>
      <c r="E52" s="104">
        <v>10.810810810810811</v>
      </c>
      <c r="F52" s="104">
        <v>9.1891891891891895</v>
      </c>
      <c r="G52" s="104">
        <f>'[16] STB_FS_квартально'!E30+'[16] STB_FS_квартально'!F30</f>
        <v>0.4</v>
      </c>
      <c r="H52" s="104">
        <f>'[16] STB_FS_квартально'!G30+'[16] STB_FS_квартально'!H30</f>
        <v>0</v>
      </c>
      <c r="I52" s="105">
        <f>'[16] STB_FS_квартально'!I30+'[16] STB_FS_квартально'!J30</f>
        <v>0</v>
      </c>
      <c r="J52" s="105">
        <f>'[16] STB_FS_квартально'!K30+'[16] STB_FS_квартально'!L30</f>
        <v>0</v>
      </c>
      <c r="K52" s="105">
        <f>'[16] STB_FS_квартально'!N30+'[16] STB_FS_квартально'!M30</f>
        <v>0.72</v>
      </c>
      <c r="L52" s="93"/>
    </row>
    <row r="53" spans="1:14">
      <c r="B53" s="109" t="s">
        <v>39</v>
      </c>
      <c r="C53" s="112" t="s">
        <v>65</v>
      </c>
      <c r="D53" s="112"/>
      <c r="E53" s="104">
        <v>-184.32432432432432</v>
      </c>
      <c r="F53" s="104">
        <v>-156.67567567567568</v>
      </c>
      <c r="G53" s="104">
        <f>'[16] STB_FS_квартально'!E31+'[16] STB_FS_квартально'!F31</f>
        <v>-58.342999999999996</v>
      </c>
      <c r="H53" s="104">
        <f>'[16] STB_FS_квартально'!G31+'[16] STB_FS_квартально'!H31</f>
        <v>-125.67100000000001</v>
      </c>
      <c r="I53" s="105">
        <f>'[16] STB_FS_квартально'!I31+'[16] STB_FS_квартально'!J31</f>
        <v>-81.326999999999998</v>
      </c>
      <c r="J53" s="105">
        <f>'[16] STB_FS_квартально'!K31+'[16] STB_FS_квартально'!L31</f>
        <v>-201.37399999999997</v>
      </c>
      <c r="K53" s="105">
        <f>'[16] STB_FS_квартально'!N31+'[16] STB_FS_квартально'!M31</f>
        <v>-128.0199999999999</v>
      </c>
      <c r="L53" s="93"/>
    </row>
    <row r="54" spans="1:14" ht="13.15">
      <c r="B54" s="109" t="s">
        <v>40</v>
      </c>
      <c r="C54" s="112" t="s">
        <v>65</v>
      </c>
      <c r="D54" s="114"/>
      <c r="E54" s="104">
        <v>-1022.1621621621621</v>
      </c>
      <c r="F54" s="104">
        <v>-868.83783783783792</v>
      </c>
      <c r="G54" s="104">
        <f>'[16] STB_FS_квартально'!E32+'[16] STB_FS_квартально'!F32</f>
        <v>-1717.4</v>
      </c>
      <c r="H54" s="104">
        <f>'[16] STB_FS_квартально'!G32+'[16] STB_FS_квартально'!H32</f>
        <v>-1249.0999999999999</v>
      </c>
      <c r="I54" s="105">
        <f>'[16] STB_FS_квартально'!I32+'[16] STB_FS_квартально'!J32</f>
        <v>-1554.4</v>
      </c>
      <c r="J54" s="105">
        <f>'[16] STB_FS_квартально'!K32+'[16] STB_FS_квартально'!L32</f>
        <v>-1818.4</v>
      </c>
      <c r="K54" s="105">
        <f>'[16] STB_FS_квартально'!N32+'[16] STB_FS_квартально'!M32</f>
        <v>-2171</v>
      </c>
      <c r="L54" s="93"/>
    </row>
    <row r="55" spans="1:14">
      <c r="B55" s="109" t="s">
        <v>41</v>
      </c>
      <c r="C55" s="112" t="s">
        <v>65</v>
      </c>
      <c r="D55" s="112"/>
      <c r="E55" s="104">
        <v>-142.70270270270271</v>
      </c>
      <c r="F55" s="104">
        <v>-121.29729729729729</v>
      </c>
      <c r="G55" s="104">
        <f>'[16] STB_FS_квартально'!E33+'[16] STB_FS_квартально'!F33</f>
        <v>-141.5</v>
      </c>
      <c r="H55" s="104">
        <f>'[16] STB_FS_квартально'!G33+'[16] STB_FS_квартально'!H33</f>
        <v>-130.69999999999999</v>
      </c>
      <c r="I55" s="105">
        <f>'[16] STB_FS_квартально'!I33+'[16] STB_FS_квартально'!J33</f>
        <v>-139.4</v>
      </c>
      <c r="J55" s="105">
        <f>'[16] STB_FS_квартально'!K33+'[16] STB_FS_квартально'!L33</f>
        <v>-140.10000000000002</v>
      </c>
      <c r="K55" s="105">
        <f>'[16] STB_FS_квартально'!N33+'[16] STB_FS_квартально'!M33</f>
        <v>-170</v>
      </c>
      <c r="L55" s="93"/>
    </row>
    <row r="56" spans="1:14">
      <c r="B56" s="109" t="s">
        <v>42</v>
      </c>
      <c r="C56" s="112" t="s">
        <v>65</v>
      </c>
      <c r="D56" s="112"/>
      <c r="E56" s="104">
        <v>-36.756756756756758</v>
      </c>
      <c r="F56" s="104">
        <v>-31.243243243243242</v>
      </c>
      <c r="G56" s="104">
        <f>'[16] STB_FS_квартально'!E34+'[16] STB_FS_квартально'!F34</f>
        <v>-19.600000000000001</v>
      </c>
      <c r="H56" s="104">
        <f>'[16] STB_FS_квартально'!G34+'[16] STB_FS_квартально'!H34</f>
        <v>-21.799999999999997</v>
      </c>
      <c r="I56" s="105">
        <f>'[16] STB_FS_квартально'!I34+'[16] STB_FS_квартально'!J34</f>
        <v>-24.799999999999997</v>
      </c>
      <c r="J56" s="105">
        <f>'[16] STB_FS_квартально'!K34+'[16] STB_FS_квартально'!L34</f>
        <v>-35.299999999999997</v>
      </c>
      <c r="K56" s="105">
        <f>'[16] STB_FS_квартально'!N34+'[16] STB_FS_квартально'!M34</f>
        <v>-25</v>
      </c>
      <c r="L56" s="93"/>
    </row>
    <row r="57" spans="1:14">
      <c r="B57" s="109" t="s">
        <v>11</v>
      </c>
      <c r="C57" s="112" t="s">
        <v>65</v>
      </c>
      <c r="D57" s="112"/>
      <c r="E57" s="104">
        <v>-142.70270270270271</v>
      </c>
      <c r="F57" s="104">
        <v>-121.29729729729729</v>
      </c>
      <c r="G57" s="104">
        <f>'[16] STB_FS_квартально'!E35+'[16] STB_FS_квартально'!F35</f>
        <v>-161.80000000000001</v>
      </c>
      <c r="H57" s="104">
        <f>'[16] STB_FS_квартально'!G35+'[16] STB_FS_квартально'!H35</f>
        <v>-176.9</v>
      </c>
      <c r="I57" s="105">
        <f>'[16] STB_FS_квартально'!I35+'[16] STB_FS_квартально'!J35</f>
        <v>-240.3</v>
      </c>
      <c r="J57" s="105">
        <f>'[16] STB_FS_квартально'!K35+'[16] STB_FS_квартально'!L35</f>
        <v>-240.60000000000002</v>
      </c>
      <c r="K57" s="105">
        <f>'[16] STB_FS_квартально'!N35+'[16] STB_FS_квартально'!M35</f>
        <v>-284.39999999999998</v>
      </c>
      <c r="L57" s="93"/>
    </row>
    <row r="58" spans="1:14">
      <c r="B58" s="109" t="s">
        <v>109</v>
      </c>
      <c r="C58" s="112"/>
      <c r="D58" s="112"/>
      <c r="E58" s="104">
        <v>-51.891891891891888</v>
      </c>
      <c r="F58" s="104">
        <v>-44.108108108108112</v>
      </c>
      <c r="G58" s="104">
        <f>'[16] STB_FS_квартально'!E36+'[16] STB_FS_квартально'!F36</f>
        <v>-22.799999999999997</v>
      </c>
      <c r="H58" s="104">
        <f>'[16] STB_FS_квартально'!G36+'[16] STB_FS_квартально'!H36</f>
        <v>-24.6</v>
      </c>
      <c r="I58" s="105">
        <f>'[16] STB_FS_квартально'!I36+'[16] STB_FS_квартально'!J36</f>
        <v>-25.1</v>
      </c>
      <c r="J58" s="105">
        <f>'[16] STB_FS_квартально'!K36+'[16] STB_FS_квартально'!L36</f>
        <v>-46.5</v>
      </c>
      <c r="K58" s="105">
        <f>'[16] STB_FS_квартально'!N36+'[16] STB_FS_квартально'!M36</f>
        <v>-28.8</v>
      </c>
      <c r="L58" s="93"/>
    </row>
    <row r="59" spans="1:14" s="74" customFormat="1" ht="13.15">
      <c r="B59" s="117" t="s">
        <v>57</v>
      </c>
      <c r="C59" s="118" t="s">
        <v>65</v>
      </c>
      <c r="D59" s="118"/>
      <c r="E59" s="119">
        <f>SUM(E51:E58)</f>
        <v>8.6486486486486314</v>
      </c>
      <c r="F59" s="119">
        <f>SUM(F51:F58)</f>
        <v>7.3513513513513686</v>
      </c>
      <c r="G59" s="119">
        <f>SUM(G51:G58)</f>
        <v>11.057000000000059</v>
      </c>
      <c r="H59" s="119">
        <f>SUM(H51:H58)</f>
        <v>-8.3709999999998743</v>
      </c>
      <c r="I59" s="119">
        <f t="shared" ref="I59:J59" si="11">SUM(I51:I58)</f>
        <v>-1.8270000000000906</v>
      </c>
      <c r="J59" s="119">
        <f t="shared" si="11"/>
        <v>-0.47399999999976217</v>
      </c>
      <c r="K59" s="105">
        <f>'[16] STB_FS_квартально'!N37+'[16] STB_FS_квартально'!M37</f>
        <v>59.500000000000043</v>
      </c>
      <c r="L59" s="100"/>
    </row>
    <row r="60" spans="1:14">
      <c r="B60" s="109" t="s">
        <v>55</v>
      </c>
      <c r="C60" s="112" t="s">
        <v>65</v>
      </c>
      <c r="D60" s="112"/>
      <c r="E60" s="104"/>
      <c r="F60" s="104"/>
      <c r="G60" s="104">
        <f>'[16] STB_FS_квартально'!E38+'[16] STB_FS_квартально'!F38</f>
        <v>-2.927</v>
      </c>
      <c r="H60" s="104">
        <f>'[16] STB_FS_квартально'!G38+'[16] STB_FS_квартально'!H38</f>
        <v>-0.51</v>
      </c>
      <c r="I60" s="105">
        <f>'[16] STB_FS_квартально'!I38+'[16] STB_FS_квартально'!J38</f>
        <v>0</v>
      </c>
      <c r="J60" s="105">
        <f>'[16] STB_FS_квартально'!K38+'[16] STB_FS_квартально'!L38</f>
        <v>0</v>
      </c>
      <c r="K60" s="105">
        <f>'[16] STB_FS_квартально'!N38+'[16] STB_FS_квартально'!M38</f>
        <v>0</v>
      </c>
      <c r="L60" s="93"/>
    </row>
    <row r="61" spans="1:14">
      <c r="B61" s="109" t="s">
        <v>56</v>
      </c>
      <c r="C61" s="112" t="s">
        <v>65</v>
      </c>
      <c r="D61" s="112"/>
      <c r="E61" s="104"/>
      <c r="F61" s="104"/>
      <c r="G61" s="104">
        <f>'[16] STB_FS_квартально'!E39+'[16] STB_FS_квартально'!F39</f>
        <v>0</v>
      </c>
      <c r="H61" s="104">
        <f>'[16] STB_FS_квартально'!G39+'[16] STB_FS_квартально'!H39</f>
        <v>0</v>
      </c>
      <c r="I61" s="105">
        <f>'[16] STB_FS_квартально'!I39+'[16] STB_FS_квартально'!J39</f>
        <v>0</v>
      </c>
      <c r="J61" s="105">
        <f>'[16] STB_FS_квартально'!K39+'[16] STB_FS_квартально'!L39</f>
        <v>0</v>
      </c>
      <c r="K61" s="105">
        <f>'[16] STB_FS_квартально'!L39+'[16] STB_FS_квартально'!M39</f>
        <v>0</v>
      </c>
      <c r="L61" s="93"/>
    </row>
    <row r="62" spans="1:14">
      <c r="B62" s="109" t="s">
        <v>58</v>
      </c>
      <c r="C62" s="112" t="s">
        <v>65</v>
      </c>
      <c r="D62" s="113"/>
      <c r="E62" s="104"/>
      <c r="F62" s="104"/>
      <c r="G62" s="104">
        <f>'[16] STB_FS_квартально'!E40+'[16] STB_FS_квартально'!F40</f>
        <v>0</v>
      </c>
      <c r="H62" s="104">
        <f>'[16] STB_FS_квартально'!G40+'[16] STB_FS_квартально'!H40</f>
        <v>0</v>
      </c>
      <c r="I62" s="105">
        <f>'[16] STB_FS_квартально'!I40+'[16] STB_FS_квартально'!J40</f>
        <v>0</v>
      </c>
      <c r="J62" s="105">
        <f>'[16] STB_FS_квартально'!K40+'[16] STB_FS_квартально'!L40</f>
        <v>0</v>
      </c>
      <c r="K62" s="105">
        <f>'[16] STB_FS_квартально'!N40+'[16] STB_FS_квартально'!M40</f>
        <v>0</v>
      </c>
      <c r="L62" s="93"/>
    </row>
    <row r="63" spans="1:14" ht="13.15">
      <c r="B63" s="109" t="s">
        <v>59</v>
      </c>
      <c r="C63" s="112" t="s">
        <v>65</v>
      </c>
      <c r="D63" s="114"/>
      <c r="E63" s="104"/>
      <c r="F63" s="104"/>
      <c r="G63" s="104">
        <f>'[16] STB_FS_квартально'!E41+'[16] STB_FS_квартально'!F41</f>
        <v>0</v>
      </c>
      <c r="H63" s="104">
        <f>'[16] STB_FS_квартально'!G41+'[16] STB_FS_квартально'!H41</f>
        <v>0</v>
      </c>
      <c r="I63" s="105">
        <f>'[16] STB_FS_квартально'!I41+'[16] STB_FS_квартально'!J41</f>
        <v>0</v>
      </c>
      <c r="J63" s="105">
        <f>'[16] STB_FS_квартально'!K41+'[16] STB_FS_квартально'!L41</f>
        <v>0</v>
      </c>
      <c r="K63" s="105">
        <f>'[16] STB_FS_квартально'!N41+'[16] STB_FS_квартально'!M41</f>
        <v>0</v>
      </c>
      <c r="L63" s="93"/>
    </row>
    <row r="64" spans="1:14">
      <c r="B64" s="109" t="s">
        <v>60</v>
      </c>
      <c r="C64" s="112" t="s">
        <v>65</v>
      </c>
      <c r="D64" s="112"/>
      <c r="E64" s="104"/>
      <c r="F64" s="104"/>
      <c r="G64" s="104">
        <f>'[16] STB_FS_квартально'!E42+'[16] STB_FS_квартально'!F42</f>
        <v>0</v>
      </c>
      <c r="H64" s="104">
        <f>'[16] STB_FS_квартально'!G42+'[16] STB_FS_квартально'!H42</f>
        <v>0</v>
      </c>
      <c r="I64" s="105">
        <f>'[16] STB_FS_квартально'!I42+'[16] STB_FS_квартально'!J42</f>
        <v>0</v>
      </c>
      <c r="J64" s="105">
        <f>'[16] STB_FS_квартально'!K42+'[16] STB_FS_квартально'!L42</f>
        <v>0</v>
      </c>
      <c r="K64" s="105">
        <f>'[16] STB_FS_квартально'!N42+'[16] STB_FS_квартально'!M42</f>
        <v>0</v>
      </c>
      <c r="L64" s="93"/>
    </row>
    <row r="65" spans="1:14">
      <c r="B65" s="120" t="s">
        <v>61</v>
      </c>
      <c r="C65" s="112" t="s">
        <v>65</v>
      </c>
      <c r="D65" s="112"/>
      <c r="E65" s="104"/>
      <c r="F65" s="104"/>
      <c r="G65" s="104">
        <f>'[16] STB_FS_квартально'!E43+'[16] STB_FS_квартально'!F43</f>
        <v>0</v>
      </c>
      <c r="H65" s="104">
        <f>'[16] STB_FS_квартально'!G43+'[16] STB_FS_квартально'!H43</f>
        <v>0</v>
      </c>
      <c r="I65" s="105">
        <f>'[16] STB_FS_квартально'!I43+'[16] STB_FS_квартально'!J43</f>
        <v>0</v>
      </c>
      <c r="J65" s="105">
        <f>'[16] STB_FS_квартально'!K43+'[16] STB_FS_квартально'!L43</f>
        <v>0</v>
      </c>
      <c r="K65" s="105">
        <f>'[16] STB_FS_квартально'!N43+'[16] STB_FS_квартально'!M43</f>
        <v>-15</v>
      </c>
      <c r="L65" s="93"/>
    </row>
    <row r="66" spans="1:14" ht="16.350000000000001" customHeight="1">
      <c r="B66" s="120" t="s">
        <v>148</v>
      </c>
      <c r="C66" s="112"/>
      <c r="D66" s="112"/>
      <c r="E66" s="104">
        <v>1.3</v>
      </c>
      <c r="F66" s="104">
        <f t="shared" ref="F66" si="12">E67</f>
        <v>9.9486486486486321</v>
      </c>
      <c r="G66" s="104">
        <f t="shared" ref="G66" si="13">F67</f>
        <v>17.3</v>
      </c>
      <c r="H66" s="104">
        <f t="shared" ref="H66" si="14">G67</f>
        <v>25.43000000000006</v>
      </c>
      <c r="I66" s="104">
        <f t="shared" ref="I66" si="15">H67</f>
        <v>16.549000000000184</v>
      </c>
      <c r="J66" s="104">
        <f>I67</f>
        <v>14.722000000000094</v>
      </c>
      <c r="K66" s="104">
        <f>J67</f>
        <v>14.248000000000332</v>
      </c>
      <c r="L66" s="93"/>
    </row>
    <row r="67" spans="1:14" ht="13.15">
      <c r="B67" s="115" t="s">
        <v>0</v>
      </c>
      <c r="C67" s="112" t="s">
        <v>65</v>
      </c>
      <c r="D67" s="112"/>
      <c r="E67" s="108">
        <f>E59+E66</f>
        <v>9.9486486486486321</v>
      </c>
      <c r="F67" s="108">
        <f>SUM(F59:F66)</f>
        <v>17.3</v>
      </c>
      <c r="G67" s="108">
        <f>SUM(G59:G66)</f>
        <v>25.43000000000006</v>
      </c>
      <c r="H67" s="108">
        <f>SUM(H59:H66)</f>
        <v>16.549000000000184</v>
      </c>
      <c r="I67" s="108">
        <f t="shared" ref="I67" si="16">SUM(I59:I66)</f>
        <v>14.722000000000094</v>
      </c>
      <c r="J67" s="108">
        <f>SUM(J59:J66)</f>
        <v>14.248000000000332</v>
      </c>
      <c r="K67" s="108">
        <f>SUM(K59:K66)</f>
        <v>58.748000000000374</v>
      </c>
      <c r="L67" s="93"/>
    </row>
    <row r="68" spans="1:14">
      <c r="B68" s="18"/>
      <c r="C68" s="9"/>
      <c r="D68" s="9"/>
    </row>
    <row r="69" spans="1:14" s="6" customFormat="1" ht="15.4" thickBot="1">
      <c r="A69" s="3" t="s">
        <v>76</v>
      </c>
      <c r="B69" s="50"/>
      <c r="C69" s="5" t="s">
        <v>20</v>
      </c>
      <c r="D69" s="5" t="s">
        <v>21</v>
      </c>
      <c r="E69" s="1" t="s">
        <v>78</v>
      </c>
      <c r="F69" s="2" t="s">
        <v>79</v>
      </c>
      <c r="G69" s="1" t="s">
        <v>80</v>
      </c>
      <c r="H69" s="2" t="s">
        <v>81</v>
      </c>
      <c r="I69" s="1" t="s">
        <v>161</v>
      </c>
      <c r="J69" s="2" t="s">
        <v>82</v>
      </c>
      <c r="K69" s="1"/>
      <c r="L69" s="2"/>
      <c r="M69" s="1"/>
      <c r="N69" s="2"/>
    </row>
    <row r="70" spans="1:14">
      <c r="B70" s="51" t="s">
        <v>77</v>
      </c>
      <c r="C70" s="9" t="s">
        <v>75</v>
      </c>
      <c r="D70" s="9"/>
    </row>
    <row r="71" spans="1:14">
      <c r="B71" s="18"/>
      <c r="C71" s="9"/>
      <c r="D71" s="9"/>
    </row>
    <row r="72" spans="1:14">
      <c r="B72" s="18"/>
      <c r="C72" s="9"/>
      <c r="D72" s="9"/>
    </row>
    <row r="73" spans="1:14">
      <c r="B73" s="18"/>
      <c r="C73" s="9"/>
      <c r="D73" s="9"/>
    </row>
    <row r="74" spans="1:14">
      <c r="B74" s="18"/>
      <c r="C74" s="9"/>
      <c r="D74" s="9"/>
    </row>
    <row r="75" spans="1:14">
      <c r="B75" s="18"/>
      <c r="C75" s="9"/>
      <c r="D75" s="9"/>
    </row>
    <row r="76" spans="1:14">
      <c r="B76" s="18"/>
      <c r="C76" s="9"/>
      <c r="D76" s="9"/>
    </row>
    <row r="77" spans="1:14">
      <c r="B77" s="18"/>
      <c r="C77" s="9"/>
      <c r="D77" s="9"/>
    </row>
    <row r="78" spans="1:14" ht="13.15">
      <c r="B78" s="18"/>
      <c r="C78" s="46"/>
      <c r="D78" s="46"/>
    </row>
    <row r="79" spans="1:14">
      <c r="B79" s="18"/>
      <c r="C79" s="9"/>
      <c r="D79" s="9"/>
    </row>
    <row r="80" spans="1:14">
      <c r="B80" s="18"/>
      <c r="C80" s="9"/>
      <c r="D80" s="9"/>
    </row>
    <row r="81" spans="2:4">
      <c r="B81" s="18"/>
      <c r="C81" s="9"/>
      <c r="D81" s="9"/>
    </row>
    <row r="82" spans="2:4">
      <c r="B82" s="18"/>
      <c r="C82" s="9"/>
      <c r="D82" s="9"/>
    </row>
    <row r="83" spans="2:4">
      <c r="B83" s="18"/>
      <c r="C83" s="9"/>
      <c r="D83" s="9"/>
    </row>
    <row r="84" spans="2:4">
      <c r="B84" s="18"/>
      <c r="C84" s="9"/>
      <c r="D84" s="9"/>
    </row>
    <row r="85" spans="2:4">
      <c r="B85" s="18"/>
      <c r="C85" s="17"/>
      <c r="D85" s="17"/>
    </row>
    <row r="86" spans="2:4" ht="13.15">
      <c r="B86" s="18"/>
      <c r="C86" s="46"/>
      <c r="D86" s="46"/>
    </row>
    <row r="87" spans="2:4">
      <c r="C87" s="9"/>
      <c r="D87" s="9"/>
    </row>
    <row r="88" spans="2:4">
      <c r="C88" s="9"/>
      <c r="D88" s="9"/>
    </row>
    <row r="89" spans="2:4">
      <c r="C89" s="9"/>
      <c r="D89" s="9"/>
    </row>
    <row r="90" spans="2:4">
      <c r="C90" s="9"/>
      <c r="D90" s="9"/>
    </row>
    <row r="91" spans="2:4">
      <c r="C91" s="9"/>
      <c r="D91" s="9"/>
    </row>
    <row r="92" spans="2:4">
      <c r="C92" s="9"/>
      <c r="D92" s="9"/>
    </row>
    <row r="93" spans="2:4">
      <c r="C93" s="9"/>
      <c r="D93" s="9"/>
    </row>
    <row r="94" spans="2:4">
      <c r="C94" s="9"/>
      <c r="D94" s="9"/>
    </row>
    <row r="95" spans="2:4">
      <c r="C95" s="9"/>
      <c r="D95" s="9"/>
    </row>
    <row r="96" spans="2:4" ht="13.15">
      <c r="C96" s="52"/>
      <c r="D96" s="52"/>
    </row>
    <row r="97" spans="3:4">
      <c r="C97" s="17"/>
      <c r="D97" s="17"/>
    </row>
    <row r="98" spans="3:4" ht="13.15">
      <c r="C98" s="46"/>
      <c r="D98" s="46"/>
    </row>
    <row r="99" spans="3:4">
      <c r="C99" s="9"/>
      <c r="D99" s="9"/>
    </row>
    <row r="100" spans="3:4">
      <c r="C100" s="9"/>
      <c r="D100" s="9"/>
    </row>
    <row r="101" spans="3:4">
      <c r="C101" s="9"/>
      <c r="D101" s="9"/>
    </row>
    <row r="102" spans="3:4">
      <c r="C102" s="9"/>
      <c r="D102" s="9"/>
    </row>
    <row r="103" spans="3:4">
      <c r="C103" s="9"/>
      <c r="D103" s="9"/>
    </row>
    <row r="104" spans="3:4">
      <c r="C104" s="9"/>
      <c r="D104" s="9"/>
    </row>
    <row r="105" spans="3:4">
      <c r="C105" s="9"/>
      <c r="D105" s="9"/>
    </row>
    <row r="106" spans="3:4">
      <c r="C106" s="9"/>
      <c r="D106" s="9"/>
    </row>
    <row r="107" spans="3:4">
      <c r="C107" s="9"/>
      <c r="D107" s="9"/>
    </row>
    <row r="108" spans="3:4" ht="13.15">
      <c r="C108" s="52"/>
      <c r="D108" s="52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39997558519241921"/>
  </sheetPr>
  <dimension ref="A1:X86"/>
  <sheetViews>
    <sheetView tabSelected="1" topLeftCell="A9" zoomScale="90" zoomScaleNormal="90" workbookViewId="0">
      <selection activeCell="O44" sqref="O44"/>
    </sheetView>
  </sheetViews>
  <sheetFormatPr defaultColWidth="8" defaultRowHeight="12.75"/>
  <cols>
    <col min="1" max="1" width="8" style="7"/>
    <col min="2" max="2" width="39.73046875" style="15" customWidth="1"/>
    <col min="3" max="4" width="7.73046875" style="16" customWidth="1"/>
    <col min="5" max="13" width="11.59765625" style="7" customWidth="1"/>
    <col min="14" max="14" width="8" style="7"/>
    <col min="15" max="15" width="9" style="7" bestFit="1" customWidth="1"/>
    <col min="16" max="16384" width="8" style="7"/>
  </cols>
  <sheetData>
    <row r="1" spans="1:24" s="6" customFormat="1" ht="15.75" customHeight="1" thickBot="1">
      <c r="A1" s="3" t="s">
        <v>69</v>
      </c>
      <c r="B1" s="4"/>
      <c r="C1" s="5" t="s">
        <v>20</v>
      </c>
      <c r="D1" s="5" t="s">
        <v>21</v>
      </c>
      <c r="E1" s="1" t="s">
        <v>16</v>
      </c>
      <c r="F1" s="69" t="s">
        <v>17</v>
      </c>
      <c r="G1" s="68" t="s">
        <v>18</v>
      </c>
      <c r="H1" s="69" t="s">
        <v>19</v>
      </c>
      <c r="I1" s="68" t="s">
        <v>73</v>
      </c>
      <c r="J1" s="69" t="s">
        <v>74</v>
      </c>
      <c r="K1" s="68" t="s">
        <v>71</v>
      </c>
      <c r="L1" s="69" t="s">
        <v>72</v>
      </c>
      <c r="M1" s="68" t="s">
        <v>158</v>
      </c>
      <c r="N1" s="68" t="s">
        <v>159</v>
      </c>
      <c r="O1" s="68" t="s">
        <v>162</v>
      </c>
    </row>
    <row r="2" spans="1:24" ht="16.350000000000001" customHeight="1">
      <c r="B2" s="8" t="s">
        <v>98</v>
      </c>
      <c r="C2" s="9" t="s">
        <v>65</v>
      </c>
      <c r="D2" s="9"/>
      <c r="E2" s="62">
        <v>1012.6079999999999</v>
      </c>
      <c r="F2" s="62">
        <f>'[15] STB_FS_полугодовой'!G2-'[16] STB_FS_квартально'!E2</f>
        <v>832.62800000000016</v>
      </c>
      <c r="G2" s="62">
        <f>2747.15-E2-F2</f>
        <v>901.91399999999999</v>
      </c>
      <c r="H2" s="62">
        <f>'[15] STB_FS_полугодовой'!H2-'[16] STB_FS_квартально'!G2</f>
        <v>1005.02</v>
      </c>
      <c r="I2" s="62">
        <v>1253.3</v>
      </c>
      <c r="J2" s="62">
        <f>'[15] STB_FS_полугодовой'!I2-'[16] STB_FS_квартально'!I2</f>
        <v>1049.3900000000001</v>
      </c>
      <c r="K2" s="62">
        <f>3494.967-I2-J2</f>
        <v>1192.2770000000003</v>
      </c>
      <c r="L2" s="62">
        <f>'[15] STB_FS_полугодовой'!J2-'[16] STB_FS_квартально'!K2</f>
        <v>1394.5620000000001</v>
      </c>
      <c r="M2" s="62">
        <v>1463.1</v>
      </c>
      <c r="N2" s="62">
        <f>2944.666-M2</f>
        <v>1481.5660000000003</v>
      </c>
      <c r="O2" s="62">
        <f>4607.948-M2-N2</f>
        <v>1663.2820000000002</v>
      </c>
    </row>
    <row r="3" spans="1:24" ht="16.350000000000001" customHeight="1">
      <c r="B3" s="11" t="s">
        <v>99</v>
      </c>
      <c r="C3" s="9" t="s">
        <v>65</v>
      </c>
      <c r="D3" s="9"/>
      <c r="E3" s="62">
        <v>-790.28</v>
      </c>
      <c r="F3" s="62">
        <f>'[15] STB_FS_полугодовой'!G3-'[16] STB_FS_квартально'!E3</f>
        <v>-673.18000000000006</v>
      </c>
      <c r="G3" s="62">
        <f>-2181.3-E3-F3</f>
        <v>-717.84000000000015</v>
      </c>
      <c r="H3" s="62">
        <f>'[15] STB_FS_полугодовой'!H3-'[16] STB_FS_квартально'!G3</f>
        <v>-694.48999999999978</v>
      </c>
      <c r="I3" s="62">
        <v>-816.245</v>
      </c>
      <c r="J3" s="62">
        <f>'[15] STB_FS_полугодовой'!I3-'[16] STB_FS_квартально'!I3</f>
        <v>-718.1450000000001</v>
      </c>
      <c r="K3" s="62">
        <f>-2357.545-I3-J3</f>
        <v>-823.15500000000009</v>
      </c>
      <c r="L3" s="62">
        <f>'[15] STB_FS_полугодовой'!J3-'[16] STB_FS_квартально'!K3</f>
        <v>-826.21500000000003</v>
      </c>
      <c r="M3" s="62">
        <v>-919.5</v>
      </c>
      <c r="N3" s="62">
        <f>-1874.531-M3</f>
        <v>-955.03099999999995</v>
      </c>
      <c r="O3" s="62">
        <f>-2911.012-M3-N3</f>
        <v>-1036.4810000000002</v>
      </c>
    </row>
    <row r="4" spans="1:24" ht="16.350000000000001" customHeight="1">
      <c r="B4" s="47" t="s">
        <v>12</v>
      </c>
      <c r="C4" s="9" t="s">
        <v>65</v>
      </c>
      <c r="D4" s="9"/>
      <c r="E4" s="62">
        <f>SUM(E2:E3)</f>
        <v>222.32799999999997</v>
      </c>
      <c r="F4" s="62">
        <f t="shared" ref="F4:L4" si="0">SUM(F2:F3)</f>
        <v>159.44800000000009</v>
      </c>
      <c r="G4" s="62">
        <f t="shared" si="0"/>
        <v>184.07399999999984</v>
      </c>
      <c r="H4" s="62">
        <f t="shared" si="0"/>
        <v>310.5300000000002</v>
      </c>
      <c r="I4" s="62">
        <f t="shared" si="0"/>
        <v>437.05499999999995</v>
      </c>
      <c r="J4" s="62">
        <f t="shared" si="0"/>
        <v>331.245</v>
      </c>
      <c r="K4" s="62">
        <f t="shared" si="0"/>
        <v>369.12200000000018</v>
      </c>
      <c r="L4" s="62">
        <f t="shared" si="0"/>
        <v>568.34700000000009</v>
      </c>
      <c r="M4" s="62">
        <f t="shared" ref="M4:N4" si="1">SUM(M2:M3)</f>
        <v>543.59999999999991</v>
      </c>
      <c r="N4" s="62">
        <f t="shared" si="1"/>
        <v>526.53500000000031</v>
      </c>
      <c r="O4" s="62">
        <f t="shared" ref="O4" si="2">SUM(O2:O3)</f>
        <v>626.80099999999993</v>
      </c>
    </row>
    <row r="5" spans="1:24" ht="16.350000000000001" customHeight="1">
      <c r="B5" s="11" t="s">
        <v>7</v>
      </c>
      <c r="C5" s="9" t="s">
        <v>65</v>
      </c>
      <c r="D5" s="9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1:24" ht="16.350000000000001" customHeight="1">
      <c r="B6" s="11" t="s">
        <v>10</v>
      </c>
      <c r="C6" s="9" t="s">
        <v>65</v>
      </c>
      <c r="D6" s="9"/>
      <c r="E6" s="62">
        <v>-268.36500000000001</v>
      </c>
      <c r="F6" s="62">
        <f>'[15] STB_FS_полугодовой'!G6-'[16] STB_FS_квартально'!E6</f>
        <v>-191.11199999999997</v>
      </c>
      <c r="G6" s="62">
        <f>-615.592-E6-F6</f>
        <v>-156.11500000000001</v>
      </c>
      <c r="H6" s="62">
        <f>'[15] STB_FS_полугодовой'!H6-'[16] STB_FS_квартально'!G6</f>
        <v>-241.01900000000001</v>
      </c>
      <c r="I6" s="62">
        <v>-252.75899999999999</v>
      </c>
      <c r="J6" s="62">
        <f>'[15] STB_FS_полугодовой'!I6-'[16] STB_FS_квартально'!I6</f>
        <v>-318.41999999999996</v>
      </c>
      <c r="K6" s="62">
        <f>-906.561-I6-J6</f>
        <v>-335.38200000000006</v>
      </c>
      <c r="L6" s="62">
        <f>'[15] STB_FS_полугодовой'!J6-'[16] STB_FS_квартально'!K6</f>
        <v>-289.77300000000002</v>
      </c>
      <c r="M6" s="62">
        <f>-303.6-10.2</f>
        <v>-313.8</v>
      </c>
      <c r="N6" s="62">
        <f>-686.131-M6</f>
        <v>-372.33099999999996</v>
      </c>
      <c r="O6" s="62">
        <f>-1031.29-M6-N6</f>
        <v>-345.15900000000005</v>
      </c>
    </row>
    <row r="7" spans="1:24" ht="16.350000000000001" customHeight="1">
      <c r="B7" s="11" t="s">
        <v>9</v>
      </c>
      <c r="C7" s="9" t="s">
        <v>65</v>
      </c>
      <c r="D7" s="9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</row>
    <row r="8" spans="1:24" ht="16.350000000000001" customHeight="1">
      <c r="B8" s="11" t="s">
        <v>11</v>
      </c>
      <c r="C8" s="9" t="s">
        <v>65</v>
      </c>
      <c r="D8" s="9"/>
      <c r="E8" s="62"/>
      <c r="F8" s="62"/>
      <c r="G8" s="62"/>
      <c r="H8" s="62">
        <v>-36.567</v>
      </c>
      <c r="I8" s="62"/>
      <c r="J8" s="62"/>
      <c r="K8" s="62"/>
      <c r="L8" s="62">
        <f>'[15] STB_FS_полугодовой'!J8</f>
        <v>-135.35</v>
      </c>
      <c r="M8" s="62"/>
      <c r="N8" s="62"/>
      <c r="O8" s="62"/>
    </row>
    <row r="9" spans="1:24" ht="16.350000000000001" customHeight="1">
      <c r="B9" s="47" t="s">
        <v>67</v>
      </c>
      <c r="C9" s="9" t="s">
        <v>65</v>
      </c>
      <c r="D9" s="9"/>
      <c r="E9" s="62">
        <f>SUM(E4:E8)</f>
        <v>-46.037000000000035</v>
      </c>
      <c r="F9" s="62">
        <f t="shared" ref="F9:L9" si="3">SUM(F4:F8)</f>
        <v>-31.663999999999874</v>
      </c>
      <c r="G9" s="62">
        <f t="shared" si="3"/>
        <v>27.958999999999833</v>
      </c>
      <c r="H9" s="62">
        <f t="shared" si="3"/>
        <v>32.944000000000194</v>
      </c>
      <c r="I9" s="62">
        <f t="shared" si="3"/>
        <v>184.29599999999996</v>
      </c>
      <c r="J9" s="62">
        <f t="shared" si="3"/>
        <v>12.825000000000045</v>
      </c>
      <c r="K9" s="62">
        <f t="shared" si="3"/>
        <v>33.740000000000123</v>
      </c>
      <c r="L9" s="62">
        <f t="shared" si="3"/>
        <v>143.22400000000007</v>
      </c>
      <c r="M9" s="62">
        <f>SUM(M4:M8)</f>
        <v>229.7999999999999</v>
      </c>
      <c r="N9" s="62">
        <f>SUM(N4:N8)</f>
        <v>154.20400000000035</v>
      </c>
      <c r="O9" s="62">
        <f>SUM(O4:O8)</f>
        <v>281.64199999999988</v>
      </c>
    </row>
    <row r="10" spans="1:24" ht="16.350000000000001" customHeight="1">
      <c r="B10" s="35"/>
      <c r="C10" s="9"/>
      <c r="D10" s="9"/>
    </row>
    <row r="11" spans="1:24" s="6" customFormat="1" ht="15.75" customHeight="1" thickBot="1">
      <c r="A11" s="3" t="s">
        <v>62</v>
      </c>
      <c r="B11" s="4"/>
      <c r="C11" s="5" t="s">
        <v>20</v>
      </c>
      <c r="D11" s="5" t="s">
        <v>21</v>
      </c>
      <c r="E11" s="1" t="s">
        <v>16</v>
      </c>
      <c r="F11" s="2" t="s">
        <v>17</v>
      </c>
      <c r="G11" s="1" t="s">
        <v>18</v>
      </c>
      <c r="H11" s="2" t="s">
        <v>19</v>
      </c>
      <c r="I11" s="1" t="s">
        <v>73</v>
      </c>
      <c r="J11" s="2" t="s">
        <v>74</v>
      </c>
      <c r="K11" s="1" t="s">
        <v>71</v>
      </c>
      <c r="L11" s="2" t="s">
        <v>72</v>
      </c>
      <c r="M11" s="2" t="s">
        <v>158</v>
      </c>
      <c r="N11" s="2" t="s">
        <v>159</v>
      </c>
      <c r="O11" s="2" t="s">
        <v>162</v>
      </c>
    </row>
    <row r="12" spans="1:24" ht="16.350000000000001" customHeight="1">
      <c r="B12" s="84" t="s">
        <v>145</v>
      </c>
      <c r="C12" s="85" t="s">
        <v>65</v>
      </c>
      <c r="D12" s="85"/>
      <c r="E12" s="95">
        <v>33.917000000000002</v>
      </c>
      <c r="F12" s="95">
        <v>-29.673999999999999</v>
      </c>
      <c r="G12" s="95">
        <v>8.4139999999999979</v>
      </c>
      <c r="H12" s="95">
        <v>85.695000000000007</v>
      </c>
      <c r="I12" s="95">
        <v>75.793000000000006</v>
      </c>
      <c r="J12" s="95">
        <v>-41.323000000000008</v>
      </c>
      <c r="K12" s="95">
        <v>-31.715999999999994</v>
      </c>
      <c r="L12" s="95">
        <v>144.70400000000001</v>
      </c>
      <c r="M12" s="95">
        <v>11.7</v>
      </c>
      <c r="N12" s="95">
        <v>-50.28</v>
      </c>
      <c r="O12" s="95">
        <v>-40.18</v>
      </c>
    </row>
    <row r="13" spans="1:24" ht="16.350000000000001" customHeight="1">
      <c r="B13" s="84" t="s">
        <v>128</v>
      </c>
      <c r="C13" s="85" t="s">
        <v>65</v>
      </c>
      <c r="D13" s="85"/>
      <c r="E13" s="95">
        <v>74.536000000000001</v>
      </c>
      <c r="F13" s="95">
        <v>64.575999999999993</v>
      </c>
      <c r="G13" s="95">
        <v>22.058999999999997</v>
      </c>
      <c r="H13" s="95">
        <v>54.115000000000009</v>
      </c>
      <c r="I13" s="95">
        <v>65.269000000000005</v>
      </c>
      <c r="J13" s="95">
        <v>75.48599999999999</v>
      </c>
      <c r="K13" s="95">
        <v>-5.563999999999993</v>
      </c>
      <c r="L13" s="95">
        <v>84.63900000000001</v>
      </c>
      <c r="M13" s="95">
        <v>50.6</v>
      </c>
      <c r="N13" s="95">
        <v>95.300000000000011</v>
      </c>
      <c r="O13" s="95">
        <v>91.48</v>
      </c>
    </row>
    <row r="14" spans="1:24" ht="16.350000000000001" customHeight="1">
      <c r="B14" s="84" t="s">
        <v>144</v>
      </c>
      <c r="C14" s="85" t="s">
        <v>65</v>
      </c>
      <c r="D14" s="85"/>
      <c r="E14" s="95">
        <v>20.134</v>
      </c>
      <c r="F14" s="95">
        <v>9.5109999999999992</v>
      </c>
      <c r="G14" s="95">
        <v>-1.7699999999999996</v>
      </c>
      <c r="H14" s="95">
        <v>25.915999999999997</v>
      </c>
      <c r="I14" s="95">
        <v>14.247999999999999</v>
      </c>
      <c r="J14" s="95">
        <v>8.4220000000000024</v>
      </c>
      <c r="K14" s="95">
        <v>-10.670000000000002</v>
      </c>
      <c r="L14" s="95">
        <v>24.988999999999997</v>
      </c>
      <c r="M14" s="95">
        <v>16</v>
      </c>
      <c r="N14" s="95">
        <v>65.33</v>
      </c>
      <c r="O14" s="95">
        <v>29.87</v>
      </c>
    </row>
    <row r="15" spans="1:24" ht="16.350000000000001" customHeight="1">
      <c r="B15" s="84" t="s">
        <v>142</v>
      </c>
      <c r="C15" s="85" t="s">
        <v>65</v>
      </c>
      <c r="D15" s="85"/>
      <c r="E15" s="95">
        <v>-460.471</v>
      </c>
      <c r="F15" s="95">
        <v>41.069999999999993</v>
      </c>
      <c r="G15" s="95">
        <v>53.478000000000009</v>
      </c>
      <c r="H15" s="95">
        <v>419.71399999999994</v>
      </c>
      <c r="I15" s="95">
        <v>-1.149</v>
      </c>
      <c r="J15" s="95">
        <v>37.436</v>
      </c>
      <c r="K15" s="95">
        <v>47.806999999999995</v>
      </c>
      <c r="L15" s="95">
        <v>8.210000000000008</v>
      </c>
      <c r="M15" s="95">
        <v>7.2</v>
      </c>
      <c r="N15" s="95">
        <v>70.55</v>
      </c>
      <c r="O15" s="95">
        <v>75.459999999999994</v>
      </c>
    </row>
    <row r="16" spans="1:24" ht="16.350000000000001" customHeight="1">
      <c r="B16" s="11" t="s">
        <v>64</v>
      </c>
      <c r="C16" s="9" t="s">
        <v>65</v>
      </c>
      <c r="D16" s="46"/>
      <c r="E16" s="95">
        <f>E17-SUM(E12:E15)</f>
        <v>71.923000000000002</v>
      </c>
      <c r="F16" s="95">
        <f t="shared" ref="F16:L16" si="4">F17-SUM(F12:F15)</f>
        <v>45.51700000000001</v>
      </c>
      <c r="G16" s="95">
        <f>G17-SUM(G12:G15)</f>
        <v>53.513999999999982</v>
      </c>
      <c r="H16" s="95">
        <f t="shared" si="4"/>
        <v>-434.73099999999994</v>
      </c>
      <c r="I16" s="95">
        <f t="shared" si="4"/>
        <v>54.39500000000001</v>
      </c>
      <c r="J16" s="95">
        <f t="shared" si="4"/>
        <v>54.479000000000013</v>
      </c>
      <c r="K16" s="95">
        <f t="shared" si="4"/>
        <v>45.634999999999984</v>
      </c>
      <c r="L16" s="95">
        <f t="shared" si="4"/>
        <v>-9.1440000000000339</v>
      </c>
      <c r="M16" s="95">
        <f>M17-SUM(M12:M15)</f>
        <v>96.5</v>
      </c>
      <c r="N16" s="95">
        <v>-20.6</v>
      </c>
      <c r="O16" s="95">
        <v>22.02</v>
      </c>
      <c r="P16" s="10"/>
      <c r="Q16" s="10"/>
      <c r="R16" s="10"/>
      <c r="S16" s="10"/>
      <c r="T16" s="10"/>
      <c r="U16" s="10"/>
      <c r="V16" s="10"/>
      <c r="W16" s="10"/>
      <c r="X16" s="10"/>
    </row>
    <row r="17" spans="1:24" ht="16.350000000000001" customHeight="1">
      <c r="B17" s="14" t="s">
        <v>0</v>
      </c>
      <c r="C17" s="9" t="s">
        <v>65</v>
      </c>
      <c r="D17" s="9"/>
      <c r="E17" s="96">
        <v>-259.96100000000001</v>
      </c>
      <c r="F17" s="96">
        <v>131</v>
      </c>
      <c r="G17" s="96">
        <v>135.69499999999999</v>
      </c>
      <c r="H17" s="96">
        <v>150.709</v>
      </c>
      <c r="I17" s="96">
        <v>208.55600000000001</v>
      </c>
      <c r="J17" s="96">
        <v>134.5</v>
      </c>
      <c r="K17" s="96">
        <v>45.49199999999999</v>
      </c>
      <c r="L17" s="96">
        <v>253.398</v>
      </c>
      <c r="M17" s="96">
        <v>182</v>
      </c>
      <c r="N17" s="96">
        <f>SUM(N12:N16)</f>
        <v>160.30000000000001</v>
      </c>
      <c r="O17" s="96">
        <f>SUM(O12:O16)</f>
        <v>178.65</v>
      </c>
    </row>
    <row r="18" spans="1:24" ht="16.350000000000001" customHeight="1">
      <c r="B18" s="35"/>
      <c r="C18" s="9"/>
      <c r="D18" s="9"/>
      <c r="F18" s="7" t="s">
        <v>147</v>
      </c>
    </row>
    <row r="19" spans="1:24" s="6" customFormat="1" ht="15.75" customHeight="1" thickBot="1">
      <c r="A19" s="3" t="s">
        <v>63</v>
      </c>
      <c r="B19" s="4"/>
      <c r="C19" s="5" t="s">
        <v>20</v>
      </c>
      <c r="D19" s="5" t="s">
        <v>21</v>
      </c>
      <c r="E19" s="1" t="s">
        <v>16</v>
      </c>
      <c r="F19" s="2" t="s">
        <v>17</v>
      </c>
      <c r="G19" s="1" t="s">
        <v>18</v>
      </c>
      <c r="H19" s="2" t="s">
        <v>19</v>
      </c>
      <c r="I19" s="1" t="s">
        <v>73</v>
      </c>
      <c r="J19" s="2" t="s">
        <v>74</v>
      </c>
      <c r="K19" s="1" t="s">
        <v>71</v>
      </c>
      <c r="L19" s="2" t="s">
        <v>72</v>
      </c>
      <c r="M19" s="68" t="s">
        <v>158</v>
      </c>
      <c r="N19" s="68" t="s">
        <v>159</v>
      </c>
      <c r="O19" s="2" t="s">
        <v>162</v>
      </c>
      <c r="P19" s="2"/>
    </row>
    <row r="20" spans="1:24" ht="16.350000000000001" customHeight="1">
      <c r="B20" s="8" t="s">
        <v>154</v>
      </c>
      <c r="C20" s="9" t="s">
        <v>65</v>
      </c>
      <c r="D20" s="9"/>
      <c r="E20" s="101">
        <v>663</v>
      </c>
      <c r="F20" s="101">
        <v>739</v>
      </c>
      <c r="G20" s="101">
        <v>811</v>
      </c>
      <c r="H20" s="101">
        <v>856</v>
      </c>
      <c r="I20" s="102">
        <v>944</v>
      </c>
      <c r="J20" s="102">
        <v>1020</v>
      </c>
      <c r="K20" s="102">
        <v>1099</v>
      </c>
      <c r="L20" s="102">
        <v>1171</v>
      </c>
      <c r="M20" s="102">
        <v>1256.5</v>
      </c>
      <c r="N20" s="101">
        <v>1324.09</v>
      </c>
      <c r="O20" s="101">
        <v>1324.086</v>
      </c>
    </row>
    <row r="21" spans="1:24" ht="16.350000000000001" customHeight="1">
      <c r="B21" s="11" t="s">
        <v>153</v>
      </c>
      <c r="C21" s="9" t="s">
        <v>65</v>
      </c>
      <c r="D21" s="9"/>
      <c r="E21" s="101">
        <v>89</v>
      </c>
      <c r="F21" s="101">
        <v>167</v>
      </c>
      <c r="G21" s="101">
        <v>298</v>
      </c>
      <c r="H21" s="101">
        <v>308</v>
      </c>
      <c r="I21" s="102">
        <v>245</v>
      </c>
      <c r="J21" s="102">
        <v>209</v>
      </c>
      <c r="K21" s="102">
        <v>214</v>
      </c>
      <c r="L21" s="102">
        <v>117</v>
      </c>
      <c r="M21" s="102">
        <v>31.2</v>
      </c>
      <c r="N21" s="101">
        <v>-22.54</v>
      </c>
      <c r="O21" s="101">
        <v>-23</v>
      </c>
    </row>
    <row r="22" spans="1:24" ht="16.350000000000001" customHeight="1">
      <c r="B22" s="8" t="s">
        <v>155</v>
      </c>
      <c r="C22" s="9" t="s">
        <v>65</v>
      </c>
      <c r="D22" s="17"/>
      <c r="E22" s="101">
        <v>54</v>
      </c>
      <c r="F22" s="101">
        <v>17</v>
      </c>
      <c r="G22" s="101">
        <v>9.6</v>
      </c>
      <c r="H22" s="101">
        <v>9.6</v>
      </c>
      <c r="I22" s="101">
        <v>9.6</v>
      </c>
      <c r="J22" s="101">
        <v>9.6</v>
      </c>
      <c r="K22" s="101">
        <v>9.6</v>
      </c>
      <c r="L22" s="102">
        <v>8.4</v>
      </c>
      <c r="M22" s="101">
        <v>8.4</v>
      </c>
      <c r="N22" s="101">
        <v>8.41</v>
      </c>
      <c r="O22" s="101">
        <v>22.788</v>
      </c>
    </row>
    <row r="23" spans="1:24" ht="16.350000000000001" customHeight="1">
      <c r="B23" s="8" t="s">
        <v>156</v>
      </c>
      <c r="C23" s="9" t="s">
        <v>65</v>
      </c>
      <c r="D23" s="46"/>
      <c r="E23" s="101">
        <v>16.3</v>
      </c>
      <c r="F23" s="101">
        <v>12.7</v>
      </c>
      <c r="G23" s="101">
        <v>12.7</v>
      </c>
      <c r="H23" s="101">
        <v>12.7</v>
      </c>
      <c r="I23" s="101">
        <v>5.2</v>
      </c>
      <c r="J23" s="101">
        <v>5.2</v>
      </c>
      <c r="K23" s="101">
        <v>4.7</v>
      </c>
      <c r="L23" s="101">
        <v>4.5</v>
      </c>
      <c r="M23" s="101">
        <v>8.1999999999999993</v>
      </c>
      <c r="N23" s="101">
        <v>12.308999999999999</v>
      </c>
      <c r="O23" s="101">
        <v>6.0910000000000002</v>
      </c>
    </row>
    <row r="24" spans="1:24" ht="16.350000000000001" customHeight="1">
      <c r="B24" s="8" t="s">
        <v>157</v>
      </c>
      <c r="C24" s="9" t="s">
        <v>65</v>
      </c>
      <c r="D24" s="46"/>
      <c r="E24" s="101">
        <v>4.5999999999999996</v>
      </c>
      <c r="F24" s="101">
        <v>4.9000000000000004</v>
      </c>
      <c r="G24" s="101">
        <v>4.4000000000000004</v>
      </c>
      <c r="H24" s="101">
        <v>4.0999999999999996</v>
      </c>
      <c r="I24" s="101">
        <v>4.0999999999999996</v>
      </c>
      <c r="J24" s="101">
        <v>4.0999999999999996</v>
      </c>
      <c r="K24" s="101">
        <v>4.0999999999999996</v>
      </c>
      <c r="L24" s="101">
        <v>2.1</v>
      </c>
      <c r="M24" s="101">
        <v>0.95699999999999996</v>
      </c>
      <c r="N24" s="101">
        <v>2.16</v>
      </c>
      <c r="O24" s="101"/>
    </row>
    <row r="25" spans="1:24" ht="16.350000000000001" customHeight="1">
      <c r="B25" s="11" t="s">
        <v>64</v>
      </c>
      <c r="C25" s="9" t="s">
        <v>65</v>
      </c>
      <c r="D25" s="46"/>
      <c r="E25" s="101">
        <f>E26-E20-E21-E22-E23-E24</f>
        <v>249.1</v>
      </c>
      <c r="F25" s="101">
        <f t="shared" ref="F25:L25" si="5">F26-F20-F21-F22-F23-F24</f>
        <v>241.4</v>
      </c>
      <c r="G25" s="101">
        <f t="shared" si="5"/>
        <v>298.3</v>
      </c>
      <c r="H25" s="101">
        <f t="shared" si="5"/>
        <v>317.59999999999997</v>
      </c>
      <c r="I25" s="101">
        <f t="shared" si="5"/>
        <v>263.09999999999997</v>
      </c>
      <c r="J25" s="101">
        <f t="shared" si="5"/>
        <v>213.10000000000002</v>
      </c>
      <c r="K25" s="101">
        <f t="shared" si="5"/>
        <v>284.59999999999997</v>
      </c>
      <c r="L25" s="101">
        <f t="shared" si="5"/>
        <v>243</v>
      </c>
      <c r="M25" s="101">
        <f t="shared" ref="M25" si="6">M26-M20-M21-M22-M23-M24</f>
        <v>127.74300000000002</v>
      </c>
      <c r="N25" s="101">
        <v>133</v>
      </c>
      <c r="O25" s="101">
        <v>219</v>
      </c>
      <c r="P25" s="10"/>
      <c r="Q25" s="10"/>
      <c r="R25" s="10"/>
      <c r="S25" s="10"/>
      <c r="T25" s="10"/>
      <c r="U25" s="10"/>
      <c r="V25" s="10"/>
      <c r="W25" s="10"/>
      <c r="X25" s="10"/>
    </row>
    <row r="26" spans="1:24" ht="16.350000000000001" customHeight="1">
      <c r="B26" s="14" t="s">
        <v>0</v>
      </c>
      <c r="C26" s="9" t="s">
        <v>65</v>
      </c>
      <c r="D26" s="9"/>
      <c r="E26" s="110">
        <v>1076</v>
      </c>
      <c r="F26" s="110">
        <v>1182</v>
      </c>
      <c r="G26" s="110">
        <v>1434</v>
      </c>
      <c r="H26" s="110">
        <v>1508</v>
      </c>
      <c r="I26" s="137">
        <v>1471</v>
      </c>
      <c r="J26" s="137">
        <v>1461</v>
      </c>
      <c r="K26" s="137">
        <v>1616</v>
      </c>
      <c r="L26" s="137">
        <v>1546</v>
      </c>
      <c r="M26" s="137">
        <v>1433</v>
      </c>
      <c r="N26" s="110">
        <f>SUM(N20:N25)</f>
        <v>1457.4290000000001</v>
      </c>
      <c r="O26" s="110">
        <f>SUM(O20:O25)</f>
        <v>1548.9649999999999</v>
      </c>
    </row>
    <row r="27" spans="1:24" ht="16.350000000000001" customHeight="1">
      <c r="C27" s="9"/>
      <c r="D27" s="9"/>
    </row>
    <row r="28" spans="1:24" s="6" customFormat="1" ht="15.75" customHeight="1" thickBot="1">
      <c r="A28" s="3" t="s">
        <v>36</v>
      </c>
      <c r="B28" s="49"/>
      <c r="C28" s="5" t="s">
        <v>20</v>
      </c>
      <c r="D28" s="5" t="s">
        <v>21</v>
      </c>
      <c r="E28" s="1" t="s">
        <v>16</v>
      </c>
      <c r="F28" s="2" t="s">
        <v>17</v>
      </c>
      <c r="G28" s="1" t="s">
        <v>18</v>
      </c>
      <c r="H28" s="2" t="s">
        <v>19</v>
      </c>
      <c r="I28" s="1" t="s">
        <v>73</v>
      </c>
      <c r="J28" s="2" t="s">
        <v>74</v>
      </c>
      <c r="K28" s="1" t="s">
        <v>71</v>
      </c>
      <c r="L28" s="2" t="s">
        <v>72</v>
      </c>
      <c r="M28" s="2" t="s">
        <v>158</v>
      </c>
      <c r="N28" s="2" t="s">
        <v>159</v>
      </c>
      <c r="O28" s="2" t="s">
        <v>162</v>
      </c>
    </row>
    <row r="29" spans="1:24" ht="16.350000000000001" customHeight="1">
      <c r="B29" s="8" t="s">
        <v>37</v>
      </c>
      <c r="C29" s="9" t="s">
        <v>65</v>
      </c>
      <c r="D29" s="9"/>
      <c r="E29" s="104">
        <v>1376</v>
      </c>
      <c r="F29" s="104">
        <v>756.1</v>
      </c>
      <c r="G29" s="104">
        <v>821.5</v>
      </c>
      <c r="H29" s="104">
        <v>898.9</v>
      </c>
      <c r="I29" s="105">
        <v>1109</v>
      </c>
      <c r="J29" s="105">
        <v>954.5</v>
      </c>
      <c r="K29" s="105">
        <v>1188.3</v>
      </c>
      <c r="L29" s="105">
        <v>1293.5</v>
      </c>
      <c r="M29" s="105">
        <v>1396.8</v>
      </c>
      <c r="N29" s="105">
        <f>2882-M29-16</f>
        <v>1469.2</v>
      </c>
      <c r="O29" s="105">
        <v>1690.1669999999999</v>
      </c>
    </row>
    <row r="30" spans="1:24" ht="16.350000000000001" customHeight="1">
      <c r="B30" s="11" t="s">
        <v>38</v>
      </c>
      <c r="C30" s="9" t="s">
        <v>65</v>
      </c>
      <c r="D30" s="9"/>
      <c r="E30" s="104">
        <v>0.4</v>
      </c>
      <c r="F30" s="104"/>
      <c r="G30" s="104"/>
      <c r="H30" s="104"/>
      <c r="I30" s="105"/>
      <c r="J30" s="105"/>
      <c r="K30" s="105"/>
      <c r="L30" s="105"/>
      <c r="M30" s="105">
        <v>0.72</v>
      </c>
      <c r="N30" s="105">
        <v>0</v>
      </c>
      <c r="O30" s="105"/>
    </row>
    <row r="31" spans="1:24" ht="16.350000000000001" customHeight="1">
      <c r="B31" s="109" t="s">
        <v>39</v>
      </c>
      <c r="C31" s="9" t="s">
        <v>65</v>
      </c>
      <c r="D31" s="9"/>
      <c r="E31" s="104">
        <f>-22.9-14.4</f>
        <v>-37.299999999999997</v>
      </c>
      <c r="F31" s="104">
        <f>-17.9-3.143</f>
        <v>-21.042999999999999</v>
      </c>
      <c r="G31" s="104">
        <f>-40.7-45</f>
        <v>-85.7</v>
      </c>
      <c r="H31" s="104">
        <f>-23.5-16.471</f>
        <v>-39.971000000000004</v>
      </c>
      <c r="I31" s="105">
        <f>-30.7-10-7.4</f>
        <v>-48.1</v>
      </c>
      <c r="J31" s="105">
        <f>-23.6-9.627</f>
        <v>-33.227000000000004</v>
      </c>
      <c r="K31" s="105">
        <f>-115.3-15.804</f>
        <v>-131.10399999999998</v>
      </c>
      <c r="L31" s="105">
        <f>-54.3-15.97</f>
        <v>-70.27</v>
      </c>
      <c r="M31" s="105">
        <v>-90.019999999999897</v>
      </c>
      <c r="N31" s="105">
        <f>-128+90</f>
        <v>-38</v>
      </c>
      <c r="O31" s="105"/>
    </row>
    <row r="32" spans="1:24" ht="16.350000000000001" customHeight="1">
      <c r="B32" s="11" t="s">
        <v>40</v>
      </c>
      <c r="C32" s="9" t="s">
        <v>65</v>
      </c>
      <c r="D32" s="46"/>
      <c r="E32" s="104">
        <v>-1153.7</v>
      </c>
      <c r="F32" s="104">
        <v>-563.70000000000005</v>
      </c>
      <c r="G32" s="104">
        <v>-576.9</v>
      </c>
      <c r="H32" s="104">
        <v>-672.2</v>
      </c>
      <c r="I32" s="105">
        <v>-838.4</v>
      </c>
      <c r="J32" s="105">
        <v>-716</v>
      </c>
      <c r="K32" s="105">
        <v>-814.9</v>
      </c>
      <c r="L32" s="105">
        <v>-1003.5</v>
      </c>
      <c r="M32" s="105">
        <v>-1058.4000000000001</v>
      </c>
      <c r="N32" s="105">
        <f>-2171-M32</f>
        <v>-1112.5999999999999</v>
      </c>
      <c r="O32" s="105">
        <v>-1346.56</v>
      </c>
    </row>
    <row r="33" spans="2:15" ht="16.350000000000001" customHeight="1">
      <c r="B33" s="11" t="s">
        <v>41</v>
      </c>
      <c r="C33" s="9" t="s">
        <v>65</v>
      </c>
      <c r="D33" s="9"/>
      <c r="E33" s="104">
        <v>-75.3</v>
      </c>
      <c r="F33" s="104">
        <v>-66.2</v>
      </c>
      <c r="G33" s="104">
        <f>-63.6-4</f>
        <v>-67.599999999999994</v>
      </c>
      <c r="H33" s="104">
        <v>-63.1</v>
      </c>
      <c r="I33" s="105">
        <v>-69.2</v>
      </c>
      <c r="J33" s="105">
        <v>-70.2</v>
      </c>
      <c r="K33" s="105">
        <v>-70.7</v>
      </c>
      <c r="L33" s="105">
        <f>-69.4</f>
        <v>-69.400000000000006</v>
      </c>
      <c r="M33" s="105">
        <v>-83.7</v>
      </c>
      <c r="N33" s="105">
        <f>-170-M33</f>
        <v>-86.3</v>
      </c>
      <c r="O33" s="105">
        <v>-88.614000000000004</v>
      </c>
    </row>
    <row r="34" spans="2:15" ht="16.350000000000001" customHeight="1">
      <c r="B34" s="11" t="s">
        <v>42</v>
      </c>
      <c r="C34" s="9" t="s">
        <v>65</v>
      </c>
      <c r="D34" s="9"/>
      <c r="E34" s="104">
        <v>-10.9</v>
      </c>
      <c r="F34" s="104">
        <f>-4.7-4</f>
        <v>-8.6999999999999993</v>
      </c>
      <c r="G34" s="104">
        <f>-5.2-6</f>
        <v>-11.2</v>
      </c>
      <c r="H34" s="104">
        <f>-4.6-6</f>
        <v>-10.6</v>
      </c>
      <c r="I34" s="105">
        <f>-5.2-9</f>
        <v>-14.2</v>
      </c>
      <c r="J34" s="105">
        <v>-10.6</v>
      </c>
      <c r="K34" s="105">
        <f>-10.3-7</f>
        <v>-17.3</v>
      </c>
      <c r="L34" s="105">
        <f>-11-7</f>
        <v>-18</v>
      </c>
      <c r="M34" s="105">
        <v>-18.2</v>
      </c>
      <c r="N34" s="105">
        <f>-25-M34</f>
        <v>-6.8000000000000007</v>
      </c>
      <c r="O34" s="105">
        <v>-10.76</v>
      </c>
    </row>
    <row r="35" spans="2:15" ht="16.350000000000001" customHeight="1">
      <c r="B35" s="11" t="s">
        <v>11</v>
      </c>
      <c r="C35" s="9" t="s">
        <v>65</v>
      </c>
      <c r="D35" s="92"/>
      <c r="E35" s="106">
        <v>-80.2</v>
      </c>
      <c r="F35" s="104">
        <v>-81.599999999999994</v>
      </c>
      <c r="G35" s="104">
        <v>-77.900000000000006</v>
      </c>
      <c r="H35" s="104">
        <v>-99</v>
      </c>
      <c r="I35" s="105">
        <v>-132.30000000000001</v>
      </c>
      <c r="J35" s="105">
        <v>-108</v>
      </c>
      <c r="K35" s="105">
        <v>-118.2</v>
      </c>
      <c r="L35" s="105">
        <v>-122.4</v>
      </c>
      <c r="M35" s="105">
        <v>-143.4</v>
      </c>
      <c r="N35" s="105">
        <f>-284+143</f>
        <v>-141</v>
      </c>
      <c r="O35" s="105">
        <v>-180.36</v>
      </c>
    </row>
    <row r="36" spans="2:15">
      <c r="B36" s="11" t="s">
        <v>109</v>
      </c>
      <c r="C36" s="9"/>
      <c r="D36" s="9"/>
      <c r="E36" s="104">
        <v>-5.4</v>
      </c>
      <c r="F36" s="104">
        <f>-18.7+1.3</f>
        <v>-17.399999999999999</v>
      </c>
      <c r="G36" s="104">
        <f>-5-9</f>
        <v>-14</v>
      </c>
      <c r="H36" s="104">
        <v>-10.6</v>
      </c>
      <c r="I36" s="105">
        <f>+-5.8-6</f>
        <v>-11.8</v>
      </c>
      <c r="J36" s="105">
        <f>-7.3-6</f>
        <v>-13.3</v>
      </c>
      <c r="K36" s="105">
        <f>-8.6-9</f>
        <v>-17.600000000000001</v>
      </c>
      <c r="L36" s="104">
        <v>-28.9</v>
      </c>
      <c r="M36" s="105">
        <v>-3.8</v>
      </c>
      <c r="N36" s="105">
        <f>-29+4</f>
        <v>-25</v>
      </c>
      <c r="O36" s="105">
        <v>-4.46</v>
      </c>
    </row>
    <row r="37" spans="2:15" ht="16.350000000000001" customHeight="1">
      <c r="B37" s="11" t="s">
        <v>57</v>
      </c>
      <c r="C37" s="9" t="s">
        <v>65</v>
      </c>
      <c r="D37" s="9"/>
      <c r="E37" s="104">
        <f>SUM(E29:E36)</f>
        <v>13.600000000000085</v>
      </c>
      <c r="F37" s="107">
        <f t="shared" ref="F37:L37" si="7">SUM(F29:F36)</f>
        <v>-2.5430000000000277</v>
      </c>
      <c r="G37" s="104">
        <f t="shared" si="7"/>
        <v>-11.800000000000026</v>
      </c>
      <c r="H37" s="104">
        <f t="shared" si="7"/>
        <v>3.4289999999999399</v>
      </c>
      <c r="I37" s="104">
        <f t="shared" si="7"/>
        <v>-4.9999999999998757</v>
      </c>
      <c r="J37" s="104">
        <f t="shared" si="7"/>
        <v>3.1730000000000409</v>
      </c>
      <c r="K37" s="104">
        <f t="shared" si="7"/>
        <v>18.495999999999931</v>
      </c>
      <c r="L37" s="104">
        <f t="shared" si="7"/>
        <v>-18.969999999999992</v>
      </c>
      <c r="M37" s="104">
        <f>SUM(M29:M36)</f>
        <v>-7.3718808835110394E-14</v>
      </c>
      <c r="N37" s="104">
        <f>SUM(N29:N36)</f>
        <v>59.500000000000114</v>
      </c>
      <c r="O37" s="104">
        <f>SUM(O29:O36)</f>
        <v>59.412999999999961</v>
      </c>
    </row>
    <row r="38" spans="2:15">
      <c r="B38" s="11" t="s">
        <v>55</v>
      </c>
      <c r="C38" s="9" t="s">
        <v>65</v>
      </c>
      <c r="D38" s="9"/>
      <c r="E38" s="104">
        <v>-3.2</v>
      </c>
      <c r="F38" s="104">
        <v>0.27300000000000002</v>
      </c>
      <c r="G38" s="104">
        <v>-0.51</v>
      </c>
      <c r="H38" s="104"/>
      <c r="I38" s="105"/>
      <c r="J38" s="105"/>
      <c r="K38" s="105"/>
      <c r="L38" s="105"/>
      <c r="M38" s="105"/>
      <c r="N38" s="105"/>
      <c r="O38" s="105"/>
    </row>
    <row r="39" spans="2:15">
      <c r="B39" s="11" t="s">
        <v>56</v>
      </c>
      <c r="C39" s="9" t="s">
        <v>65</v>
      </c>
      <c r="D39" s="9"/>
      <c r="E39" s="104"/>
      <c r="F39" s="104"/>
      <c r="G39" s="104"/>
      <c r="H39" s="104"/>
      <c r="I39" s="105"/>
      <c r="J39" s="105"/>
      <c r="K39" s="105"/>
      <c r="L39" s="105"/>
      <c r="M39" s="105"/>
      <c r="N39" s="105"/>
      <c r="O39" s="105"/>
    </row>
    <row r="40" spans="2:15" ht="16.350000000000001" customHeight="1">
      <c r="B40" s="11" t="s">
        <v>58</v>
      </c>
      <c r="C40" s="9" t="s">
        <v>65</v>
      </c>
      <c r="D40" s="17"/>
      <c r="E40" s="104"/>
      <c r="F40" s="104"/>
      <c r="G40" s="104"/>
      <c r="H40" s="104"/>
      <c r="I40" s="105"/>
      <c r="J40" s="105"/>
      <c r="K40" s="105"/>
      <c r="L40" s="105"/>
      <c r="M40" s="105"/>
      <c r="N40" s="105"/>
      <c r="O40" s="105"/>
    </row>
    <row r="41" spans="2:15" ht="16.350000000000001" customHeight="1">
      <c r="B41" s="11" t="s">
        <v>59</v>
      </c>
      <c r="C41" s="9" t="s">
        <v>65</v>
      </c>
      <c r="D41" s="46"/>
      <c r="E41" s="104"/>
      <c r="F41" s="104"/>
      <c r="G41" s="104"/>
      <c r="H41" s="104"/>
      <c r="I41" s="105"/>
      <c r="J41" s="105"/>
      <c r="K41" s="105"/>
      <c r="L41" s="105"/>
      <c r="M41" s="105"/>
      <c r="N41" s="105"/>
      <c r="O41" s="105"/>
    </row>
    <row r="42" spans="2:15" ht="16.350000000000001" customHeight="1">
      <c r="B42" s="11" t="s">
        <v>60</v>
      </c>
      <c r="C42" s="9" t="s">
        <v>65</v>
      </c>
      <c r="D42" s="9"/>
      <c r="E42" s="104"/>
      <c r="F42" s="104"/>
      <c r="G42" s="104"/>
      <c r="H42" s="104"/>
      <c r="I42" s="105"/>
      <c r="J42" s="105"/>
      <c r="K42" s="105"/>
      <c r="L42" s="105"/>
      <c r="M42" s="105"/>
      <c r="N42" s="105"/>
      <c r="O42" s="105"/>
    </row>
    <row r="43" spans="2:15" ht="16.350000000000001" customHeight="1">
      <c r="B43" s="40" t="s">
        <v>61</v>
      </c>
      <c r="C43" s="9" t="s">
        <v>65</v>
      </c>
      <c r="D43" s="9"/>
      <c r="E43" s="104"/>
      <c r="F43" s="104"/>
      <c r="G43" s="104"/>
      <c r="H43" s="104"/>
      <c r="I43" s="105"/>
      <c r="J43" s="105"/>
      <c r="K43" s="105"/>
      <c r="L43" s="105"/>
      <c r="M43" s="105"/>
      <c r="N43" s="105">
        <v>-15</v>
      </c>
      <c r="O43" s="105">
        <v>-1</v>
      </c>
    </row>
    <row r="44" spans="2:15" ht="16.350000000000001" customHeight="1">
      <c r="B44" s="40" t="s">
        <v>148</v>
      </c>
      <c r="C44" s="9"/>
      <c r="D44" s="9"/>
      <c r="E44" s="104">
        <v>15.243</v>
      </c>
      <c r="F44" s="104">
        <f>E45</f>
        <v>25.643000000000086</v>
      </c>
      <c r="G44" s="104">
        <f>F45</f>
        <v>23.373000000000058</v>
      </c>
      <c r="H44" s="104">
        <f t="shared" ref="H44:J44" si="8">G45</f>
        <v>11.063000000000033</v>
      </c>
      <c r="I44" s="104">
        <f t="shared" si="8"/>
        <v>14.491999999999972</v>
      </c>
      <c r="J44" s="104">
        <f t="shared" si="8"/>
        <v>9.4920000000000968</v>
      </c>
      <c r="K44" s="104">
        <f>J45</f>
        <v>12.665000000000138</v>
      </c>
      <c r="L44" s="104">
        <f>K45</f>
        <v>31.161000000000069</v>
      </c>
      <c r="M44" s="104">
        <f>L45</f>
        <v>12.191000000000077</v>
      </c>
      <c r="N44" s="104">
        <f>M45</f>
        <v>12.191000000000003</v>
      </c>
      <c r="O44" s="104">
        <f>N45</f>
        <v>56.691000000000116</v>
      </c>
    </row>
    <row r="45" spans="2:15" ht="16.350000000000001" customHeight="1">
      <c r="B45" s="14" t="s">
        <v>0</v>
      </c>
      <c r="C45" s="9" t="s">
        <v>65</v>
      </c>
      <c r="D45" s="9"/>
      <c r="E45" s="108">
        <f>SUM(E37:E44)</f>
        <v>25.643000000000086</v>
      </c>
      <c r="F45" s="108">
        <f>SUM(F37:F44)</f>
        <v>23.373000000000058</v>
      </c>
      <c r="G45" s="108">
        <f t="shared" ref="G45:K45" si="9">SUM(G37:G44)</f>
        <v>11.063000000000033</v>
      </c>
      <c r="H45" s="108">
        <f t="shared" si="9"/>
        <v>14.491999999999972</v>
      </c>
      <c r="I45" s="108">
        <f t="shared" si="9"/>
        <v>9.4920000000000968</v>
      </c>
      <c r="J45" s="108">
        <f t="shared" si="9"/>
        <v>12.665000000000138</v>
      </c>
      <c r="K45" s="108">
        <f t="shared" si="9"/>
        <v>31.161000000000069</v>
      </c>
      <c r="L45" s="108">
        <f>SUM(L37:L44)</f>
        <v>12.191000000000077</v>
      </c>
      <c r="M45" s="108">
        <f>SUM(M37:M44)</f>
        <v>12.191000000000003</v>
      </c>
      <c r="N45" s="108">
        <f>SUM(N37:N44)</f>
        <v>56.691000000000116</v>
      </c>
      <c r="O45" s="108">
        <f>SUM(O37:O44)</f>
        <v>115.10400000000007</v>
      </c>
    </row>
    <row r="46" spans="2:15" ht="16.350000000000001" customHeight="1">
      <c r="B46" s="18"/>
      <c r="C46" s="9"/>
      <c r="D46" s="9"/>
      <c r="E46" s="94"/>
      <c r="F46" s="94"/>
      <c r="G46" s="94"/>
      <c r="H46" s="94"/>
      <c r="I46" s="94"/>
      <c r="J46" s="94"/>
      <c r="K46" s="94"/>
      <c r="L46" s="94"/>
      <c r="M46" s="94"/>
    </row>
    <row r="47" spans="2:15" ht="16.350000000000001" customHeight="1">
      <c r="B47" s="18"/>
      <c r="C47" s="9"/>
      <c r="D47" s="9"/>
      <c r="E47" s="97"/>
      <c r="F47" s="97"/>
      <c r="G47" s="97"/>
      <c r="H47" s="97"/>
      <c r="I47" s="97"/>
      <c r="J47" s="97"/>
      <c r="K47" s="97"/>
      <c r="L47" s="97"/>
      <c r="M47" s="97"/>
    </row>
    <row r="48" spans="2:15" ht="16.350000000000001" customHeight="1">
      <c r="B48" s="18"/>
      <c r="C48" s="9"/>
      <c r="D48" s="9"/>
    </row>
    <row r="49" spans="2:4" ht="16.350000000000001" customHeight="1">
      <c r="B49" s="18"/>
      <c r="C49" s="9"/>
      <c r="D49" s="9"/>
    </row>
    <row r="50" spans="2:4" ht="16.350000000000001" customHeight="1">
      <c r="B50" s="18"/>
      <c r="C50" s="9"/>
      <c r="D50" s="9"/>
    </row>
    <row r="51" spans="2:4">
      <c r="B51" s="18"/>
      <c r="C51" s="9"/>
      <c r="D51" s="9"/>
    </row>
    <row r="52" spans="2:4">
      <c r="B52" s="18"/>
      <c r="C52" s="9"/>
      <c r="D52" s="9"/>
    </row>
    <row r="53" spans="2:4">
      <c r="B53" s="18"/>
      <c r="C53" s="9"/>
      <c r="D53" s="9"/>
    </row>
    <row r="54" spans="2:4">
      <c r="B54" s="18"/>
      <c r="C54" s="9"/>
      <c r="D54" s="9"/>
    </row>
    <row r="55" spans="2:4">
      <c r="B55" s="18"/>
      <c r="C55" s="9"/>
      <c r="D55" s="9"/>
    </row>
    <row r="56" spans="2:4" ht="13.15">
      <c r="B56" s="18"/>
      <c r="C56" s="46"/>
      <c r="D56" s="46"/>
    </row>
    <row r="57" spans="2:4">
      <c r="B57" s="18"/>
      <c r="C57" s="9"/>
      <c r="D57" s="9"/>
    </row>
    <row r="58" spans="2:4">
      <c r="B58" s="18"/>
      <c r="C58" s="9"/>
      <c r="D58" s="9"/>
    </row>
    <row r="59" spans="2:4">
      <c r="B59" s="18"/>
      <c r="C59" s="9"/>
      <c r="D59" s="9"/>
    </row>
    <row r="60" spans="2:4">
      <c r="B60" s="18"/>
      <c r="C60" s="9"/>
      <c r="D60" s="9"/>
    </row>
    <row r="61" spans="2:4">
      <c r="B61" s="18"/>
      <c r="C61" s="9"/>
      <c r="D61" s="9"/>
    </row>
    <row r="62" spans="2:4">
      <c r="B62" s="18"/>
      <c r="C62" s="9"/>
      <c r="D62" s="9"/>
    </row>
    <row r="63" spans="2:4">
      <c r="B63" s="18"/>
      <c r="C63" s="17"/>
      <c r="D63" s="17"/>
    </row>
    <row r="64" spans="2:4" ht="13.15">
      <c r="B64" s="18"/>
      <c r="C64" s="46"/>
      <c r="D64" s="46"/>
    </row>
    <row r="65" spans="3:4">
      <c r="C65" s="9"/>
      <c r="D65" s="9"/>
    </row>
    <row r="66" spans="3:4">
      <c r="C66" s="9"/>
      <c r="D66" s="9"/>
    </row>
    <row r="67" spans="3:4">
      <c r="C67" s="9"/>
      <c r="D67" s="9"/>
    </row>
    <row r="68" spans="3:4">
      <c r="C68" s="9"/>
      <c r="D68" s="9"/>
    </row>
    <row r="69" spans="3:4">
      <c r="C69" s="9"/>
      <c r="D69" s="9"/>
    </row>
    <row r="70" spans="3:4">
      <c r="C70" s="9"/>
      <c r="D70" s="9"/>
    </row>
    <row r="71" spans="3:4">
      <c r="C71" s="9"/>
      <c r="D71" s="9"/>
    </row>
    <row r="72" spans="3:4">
      <c r="C72" s="9"/>
      <c r="D72" s="9"/>
    </row>
    <row r="73" spans="3:4">
      <c r="C73" s="9"/>
      <c r="D73" s="9"/>
    </row>
    <row r="74" spans="3:4" ht="13.15">
      <c r="C74" s="52"/>
      <c r="D74" s="52"/>
    </row>
    <row r="75" spans="3:4">
      <c r="C75" s="17"/>
      <c r="D75" s="17"/>
    </row>
    <row r="76" spans="3:4" ht="13.15">
      <c r="C76" s="46"/>
      <c r="D76" s="46"/>
    </row>
    <row r="77" spans="3:4">
      <c r="C77" s="9"/>
      <c r="D77" s="9"/>
    </row>
    <row r="78" spans="3:4">
      <c r="C78" s="9"/>
      <c r="D78" s="9"/>
    </row>
    <row r="79" spans="3:4">
      <c r="C79" s="9"/>
      <c r="D79" s="9"/>
    </row>
    <row r="80" spans="3:4">
      <c r="C80" s="9"/>
      <c r="D80" s="9"/>
    </row>
    <row r="81" spans="3:4">
      <c r="C81" s="9"/>
      <c r="D81" s="9"/>
    </row>
    <row r="82" spans="3:4">
      <c r="C82" s="9"/>
      <c r="D82" s="9"/>
    </row>
    <row r="83" spans="3:4">
      <c r="C83" s="9"/>
      <c r="D83" s="9"/>
    </row>
    <row r="84" spans="3:4">
      <c r="C84" s="9"/>
      <c r="D84" s="9"/>
    </row>
    <row r="85" spans="3:4">
      <c r="C85" s="9"/>
      <c r="D85" s="9"/>
    </row>
    <row r="86" spans="3:4" ht="13.15">
      <c r="C86" s="52"/>
      <c r="D86" s="52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 Physical_annual</vt:lpstr>
      <vt:lpstr> Physical_quarterly</vt:lpstr>
      <vt:lpstr> Physical_monthly</vt:lpstr>
      <vt:lpstr>Commercial_annual</vt:lpstr>
      <vt:lpstr> Commercial_Quarterly</vt:lpstr>
      <vt:lpstr> Commercial_monthly</vt:lpstr>
      <vt:lpstr> STB_FS_annual</vt:lpstr>
      <vt:lpstr> STB_FS_semi-annual</vt:lpstr>
      <vt:lpstr> STB_FS_quarterly</vt:lpstr>
    </vt:vector>
  </TitlesOfParts>
  <Company>WBG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Konstantin Jochum</dc:creator>
  <cp:lastModifiedBy>HUAWEI</cp:lastModifiedBy>
  <cp:lastPrinted>2025-04-25T06:34:04Z</cp:lastPrinted>
  <dcterms:created xsi:type="dcterms:W3CDTF">2023-12-04T18:42:25Z</dcterms:created>
  <dcterms:modified xsi:type="dcterms:W3CDTF">2025-10-24T12:12:50Z</dcterms:modified>
</cp:coreProperties>
</file>