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13_ncr:1_{DBDE6236-44F5-4087-8585-8760AE63F645}" xr6:coauthVersionLast="47" xr6:coauthVersionMax="47" xr10:uidLastSave="{00000000-0000-0000-0000-000000000000}"/>
  <bookViews>
    <workbookView xWindow="46680" yWindow="-120" windowWidth="29040" windowHeight="15720" tabRatio="931" activeTab="7" xr2:uid="{00000000-000D-0000-FFFF-FFFF00000000}"/>
  </bookViews>
  <sheets>
    <sheet name=" Physical_annual" sheetId="67" r:id="rId1"/>
    <sheet name=" Physical_quarterly" sheetId="68" r:id="rId2"/>
    <sheet name=" Physical_monthly" sheetId="69" r:id="rId3"/>
    <sheet name="Commercial_annual" sheetId="63" r:id="rId4"/>
    <sheet name=" Commercial_Quarterly" sheetId="70" r:id="rId5"/>
    <sheet name=" Commercial_monthly" sheetId="71" r:id="rId6"/>
    <sheet name=" STB_FS_annual" sheetId="22" r:id="rId7"/>
    <sheet name=" STB_FS_semi-annual" sheetId="60" r:id="rId8"/>
    <sheet name=" STB_FS_quarterly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56.9" localSheetId="0">#REF!</definedName>
    <definedName name="_56.9" localSheetId="2">#REF!</definedName>
    <definedName name="_56.9" localSheetId="1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5">[6]Commercial_monthly!$B$11:$B$86</definedName>
    <definedName name="_xlnm.Print_Area" localSheetId="0">[7]Physical_annual!$B$6:$B$17</definedName>
    <definedName name="_xlnm.Print_Area" localSheetId="2">[9]Physical_monthly!$B$6:$B$17</definedName>
    <definedName name="_xlnm.Print_Area" localSheetId="1">[8]Physical_quarterly!$B$6:$B$17</definedName>
    <definedName name="_xlnm.Print_Area" localSheetId="8">[3]STB_FS_quarterly!$B$1:$B$51</definedName>
    <definedName name="_xlnm.Print_Area" localSheetId="7">[4]STB_FS_semiannual!$B$1:$B$73</definedName>
    <definedName name="_xlnm.Print_Area" localSheetId="3">[5]Commercial_annual!$B$11:$B$86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60" l="1"/>
  <c r="L31" i="60"/>
  <c r="J52" i="22"/>
  <c r="J46" i="22"/>
  <c r="J28" i="22"/>
  <c r="J21" i="22"/>
  <c r="J29" i="22" s="1"/>
  <c r="J61" i="22" l="1"/>
  <c r="L48" i="60"/>
  <c r="K48" i="60"/>
  <c r="P26" i="35"/>
  <c r="J38" i="22"/>
  <c r="J4" i="22"/>
  <c r="J8" i="22" s="1"/>
  <c r="I36" i="35"/>
  <c r="J72" i="22"/>
  <c r="K59" i="60"/>
  <c r="L59" i="60"/>
  <c r="J59" i="60"/>
  <c r="P43" i="35"/>
  <c r="J10" i="22" l="1"/>
  <c r="P32" i="35" l="1"/>
  <c r="P37" i="35" s="1"/>
  <c r="N31" i="35"/>
  <c r="N37" i="35" s="1"/>
  <c r="O37" i="35"/>
  <c r="M37" i="35"/>
  <c r="P36" i="35"/>
  <c r="P35" i="35"/>
  <c r="P34" i="35"/>
  <c r="P33" i="35"/>
  <c r="P29" i="35"/>
  <c r="K38" i="60" l="1"/>
  <c r="K31" i="60"/>
  <c r="P9" i="35"/>
  <c r="K39" i="60" l="1"/>
  <c r="L25" i="60"/>
  <c r="J14" i="22" l="1"/>
  <c r="L9" i="60"/>
  <c r="G36" i="63"/>
  <c r="P111" i="70"/>
  <c r="P100" i="70"/>
  <c r="P101" i="70"/>
  <c r="P102" i="70"/>
  <c r="P103" i="70"/>
  <c r="P104" i="70"/>
  <c r="P105" i="70"/>
  <c r="P106" i="70"/>
  <c r="P107" i="70"/>
  <c r="P108" i="70"/>
  <c r="P109" i="70"/>
  <c r="P110" i="70"/>
  <c r="P99" i="70"/>
  <c r="P81" i="70"/>
  <c r="P70" i="70"/>
  <c r="P71" i="70"/>
  <c r="P72" i="70"/>
  <c r="P73" i="70"/>
  <c r="P74" i="70"/>
  <c r="P75" i="70"/>
  <c r="P76" i="70"/>
  <c r="P77" i="70"/>
  <c r="P78" i="70"/>
  <c r="P79" i="70"/>
  <c r="P69" i="70"/>
  <c r="P66" i="70"/>
  <c r="P20" i="70"/>
  <c r="P23" i="70"/>
  <c r="P25" i="70"/>
  <c r="P18" i="70"/>
  <c r="P19" i="70"/>
  <c r="P21" i="70"/>
  <c r="P22" i="70"/>
  <c r="P24" i="70"/>
  <c r="P26" i="70"/>
  <c r="P27" i="70"/>
  <c r="P14" i="70"/>
  <c r="G111" i="63"/>
  <c r="G100" i="63"/>
  <c r="G101" i="63"/>
  <c r="G102" i="63"/>
  <c r="G103" i="63"/>
  <c r="G104" i="63"/>
  <c r="G105" i="63"/>
  <c r="G106" i="63"/>
  <c r="G107" i="63"/>
  <c r="G108" i="63"/>
  <c r="G109" i="63"/>
  <c r="G110" i="63"/>
  <c r="G99" i="63"/>
  <c r="G81" i="63"/>
  <c r="G70" i="63"/>
  <c r="G71" i="63"/>
  <c r="G72" i="63"/>
  <c r="G73" i="63"/>
  <c r="G74" i="63"/>
  <c r="G75" i="63"/>
  <c r="G76" i="63"/>
  <c r="G77" i="63"/>
  <c r="G78" i="63"/>
  <c r="G79" i="63"/>
  <c r="G69" i="63"/>
  <c r="G66" i="63"/>
  <c r="P51" i="70" l="1"/>
  <c r="P29" i="70" s="1"/>
  <c r="P17" i="70"/>
  <c r="G51" i="63" l="1"/>
  <c r="G29" i="63" s="1"/>
  <c r="G22" i="63"/>
  <c r="G23" i="63"/>
  <c r="G24" i="63"/>
  <c r="G17" i="63"/>
  <c r="G25" i="63"/>
  <c r="G18" i="63"/>
  <c r="G19" i="63"/>
  <c r="G20" i="63"/>
  <c r="G21" i="63"/>
  <c r="G26" i="63"/>
  <c r="G27" i="63"/>
  <c r="G14" i="63"/>
  <c r="G4" i="67"/>
  <c r="G19" i="67"/>
  <c r="P4" i="68"/>
  <c r="AL4" i="69"/>
  <c r="AM4" i="69"/>
  <c r="AN4" i="69"/>
  <c r="AL19" i="69" l="1"/>
  <c r="AM19" i="69"/>
  <c r="AN19" i="69"/>
  <c r="P19" i="68" l="1"/>
  <c r="P17" i="35" l="1"/>
  <c r="P6" i="35" l="1"/>
  <c r="M4" i="35" l="1"/>
  <c r="P3" i="35"/>
  <c r="P2" i="35"/>
  <c r="P4" i="35" l="1"/>
  <c r="O2" i="35"/>
  <c r="E9" i="35" l="1"/>
  <c r="L34" i="35"/>
  <c r="O26" i="35"/>
  <c r="O17" i="35"/>
  <c r="O6" i="35" l="1"/>
  <c r="O3" i="35"/>
  <c r="O4" i="35" l="1"/>
  <c r="O9" i="35" s="1"/>
  <c r="O19" i="68"/>
  <c r="O4" i="68"/>
  <c r="AI19" i="69"/>
  <c r="AJ19" i="69"/>
  <c r="AK19" i="69"/>
  <c r="AI4" i="69"/>
  <c r="AJ4" i="69"/>
  <c r="AK4" i="69"/>
  <c r="O51" i="70" l="1"/>
  <c r="O66" i="70"/>
  <c r="O111" i="70"/>
  <c r="O109" i="70"/>
  <c r="O100" i="70"/>
  <c r="O101" i="70"/>
  <c r="O102" i="70"/>
  <c r="O103" i="70"/>
  <c r="O104" i="70"/>
  <c r="O105" i="70"/>
  <c r="O106" i="70"/>
  <c r="O107" i="70"/>
  <c r="O108" i="70"/>
  <c r="O110" i="70"/>
  <c r="O99" i="70" l="1"/>
  <c r="O69" i="70"/>
  <c r="O70" i="70"/>
  <c r="O71" i="70"/>
  <c r="O72" i="70"/>
  <c r="O73" i="70"/>
  <c r="O74" i="70"/>
  <c r="O75" i="70"/>
  <c r="O76" i="70"/>
  <c r="O77" i="70"/>
  <c r="O78" i="70"/>
  <c r="O79" i="70"/>
  <c r="O81" i="70"/>
  <c r="AI69" i="71"/>
  <c r="AJ54" i="71"/>
  <c r="AK112" i="71"/>
  <c r="AJ112" i="71"/>
  <c r="AI112" i="71"/>
  <c r="AK111" i="71"/>
  <c r="AJ111" i="71"/>
  <c r="AI111" i="71"/>
  <c r="AK110" i="71"/>
  <c r="AJ110" i="71"/>
  <c r="AI110" i="71"/>
  <c r="AK109" i="71"/>
  <c r="AJ109" i="71"/>
  <c r="AI109" i="71"/>
  <c r="AK108" i="71"/>
  <c r="AJ108" i="71"/>
  <c r="AI108" i="71"/>
  <c r="AK107" i="71"/>
  <c r="AJ107" i="71"/>
  <c r="AI107" i="71"/>
  <c r="AK106" i="71"/>
  <c r="AJ106" i="71"/>
  <c r="AI106" i="71"/>
  <c r="AK105" i="71"/>
  <c r="AJ105" i="71"/>
  <c r="AI105" i="71"/>
  <c r="AK104" i="71"/>
  <c r="AJ104" i="71"/>
  <c r="AI104" i="71"/>
  <c r="AK103" i="71"/>
  <c r="AJ103" i="71"/>
  <c r="AI103" i="71"/>
  <c r="AK102" i="71"/>
  <c r="AK114" i="71" s="1"/>
  <c r="AJ102" i="71"/>
  <c r="AJ114" i="71" s="1"/>
  <c r="AI102" i="71"/>
  <c r="AK82" i="71"/>
  <c r="AJ82" i="71"/>
  <c r="AI82" i="71"/>
  <c r="AK81" i="71"/>
  <c r="AJ81" i="71"/>
  <c r="AI81" i="71"/>
  <c r="AK80" i="71"/>
  <c r="AJ80" i="71"/>
  <c r="AI80" i="71"/>
  <c r="AK79" i="71"/>
  <c r="AJ79" i="71"/>
  <c r="AI79" i="71"/>
  <c r="AK78" i="71"/>
  <c r="AJ78" i="71"/>
  <c r="AI78" i="71"/>
  <c r="AK77" i="71"/>
  <c r="AJ77" i="71"/>
  <c r="AI77" i="71"/>
  <c r="AK76" i="71"/>
  <c r="AJ76" i="71"/>
  <c r="AI76" i="71"/>
  <c r="AK75" i="71"/>
  <c r="AJ75" i="71"/>
  <c r="AI75" i="71"/>
  <c r="AK74" i="71"/>
  <c r="AJ74" i="71"/>
  <c r="AI74" i="71"/>
  <c r="AK73" i="71"/>
  <c r="AJ73" i="71"/>
  <c r="AI73" i="71"/>
  <c r="AK72" i="71"/>
  <c r="AJ72" i="71"/>
  <c r="AI72" i="71"/>
  <c r="AK69" i="71"/>
  <c r="AJ69" i="71"/>
  <c r="AK54" i="71"/>
  <c r="AI54" i="71"/>
  <c r="AK17" i="71"/>
  <c r="AK27" i="71"/>
  <c r="AJ27" i="71"/>
  <c r="AI27" i="71"/>
  <c r="AK26" i="71"/>
  <c r="AJ26" i="71"/>
  <c r="AI26" i="71"/>
  <c r="AK25" i="71"/>
  <c r="AJ25" i="71"/>
  <c r="AI25" i="71"/>
  <c r="AK24" i="71"/>
  <c r="AJ24" i="71"/>
  <c r="AI24" i="71"/>
  <c r="AK23" i="71"/>
  <c r="AJ23" i="71"/>
  <c r="AI23" i="71"/>
  <c r="AK22" i="71"/>
  <c r="AJ22" i="71"/>
  <c r="AI22" i="71"/>
  <c r="AK21" i="71"/>
  <c r="AJ21" i="71"/>
  <c r="AI21" i="71"/>
  <c r="AK20" i="71"/>
  <c r="AJ20" i="71"/>
  <c r="AI20" i="71"/>
  <c r="AK19" i="71"/>
  <c r="AJ19" i="71"/>
  <c r="AI19" i="71"/>
  <c r="AK18" i="71"/>
  <c r="AJ18" i="71"/>
  <c r="AI18" i="71"/>
  <c r="AJ17" i="71"/>
  <c r="AI17" i="71"/>
  <c r="O17" i="70" l="1"/>
  <c r="O24" i="70"/>
  <c r="O23" i="70"/>
  <c r="O22" i="70"/>
  <c r="O21" i="70"/>
  <c r="O20" i="70"/>
  <c r="O27" i="70"/>
  <c r="O19" i="70"/>
  <c r="O26" i="70"/>
  <c r="O18" i="70"/>
  <c r="O25" i="70"/>
  <c r="AI114" i="71"/>
  <c r="AI84" i="71"/>
  <c r="AJ84" i="71"/>
  <c r="AK84" i="71"/>
  <c r="AK14" i="71"/>
  <c r="AK29" i="71" s="1"/>
  <c r="AI14" i="71"/>
  <c r="AI29" i="71" s="1"/>
  <c r="AJ14" i="71"/>
  <c r="AJ29" i="71" s="1"/>
  <c r="O14" i="70" l="1"/>
  <c r="O29" i="70" s="1"/>
  <c r="N26" i="35"/>
  <c r="K25" i="60" l="1"/>
  <c r="N17" i="35"/>
  <c r="N29" i="35" l="1"/>
  <c r="N34" i="35"/>
  <c r="N36" i="35"/>
  <c r="N35" i="35"/>
  <c r="N33" i="35"/>
  <c r="N32" i="35"/>
  <c r="K36" i="60"/>
  <c r="K17" i="60"/>
  <c r="N6" i="35"/>
  <c r="N3" i="35"/>
  <c r="N2" i="35"/>
  <c r="N110" i="70"/>
  <c r="N4" i="35" l="1"/>
  <c r="N9" i="35" s="1"/>
  <c r="N66" i="70"/>
  <c r="AF17" i="71" l="1"/>
  <c r="AH19" i="69"/>
  <c r="N4" i="68"/>
  <c r="AF4" i="69"/>
  <c r="AG4" i="69"/>
  <c r="AH4" i="69"/>
  <c r="AG19" i="69"/>
  <c r="AF19" i="69"/>
  <c r="AG27" i="71"/>
  <c r="AH26" i="71"/>
  <c r="AF26" i="71"/>
  <c r="AH25" i="71"/>
  <c r="AG25" i="71"/>
  <c r="AG24" i="71"/>
  <c r="AF24" i="71"/>
  <c r="AH23" i="71"/>
  <c r="AH22" i="71"/>
  <c r="AG21" i="71"/>
  <c r="AH20" i="71"/>
  <c r="AG20" i="71"/>
  <c r="AF20" i="71"/>
  <c r="AG19" i="71"/>
  <c r="AF19" i="71"/>
  <c r="AH18" i="71"/>
  <c r="AF18" i="7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G105" i="71"/>
  <c r="AF105" i="71"/>
  <c r="AH104" i="71"/>
  <c r="AG104" i="71"/>
  <c r="AG114" i="71" s="1"/>
  <c r="AF104" i="71"/>
  <c r="AH103" i="71"/>
  <c r="AG103" i="71"/>
  <c r="AF103" i="7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F69" i="71"/>
  <c r="AH54" i="71"/>
  <c r="AG54" i="71"/>
  <c r="AF54" i="71"/>
  <c r="AH27" i="71"/>
  <c r="AF27" i="71"/>
  <c r="AG26" i="71"/>
  <c r="AF25" i="71"/>
  <c r="AG23" i="71"/>
  <c r="AG22" i="71"/>
  <c r="AH21" i="71"/>
  <c r="AF21" i="71"/>
  <c r="AH19" i="71"/>
  <c r="AG18" i="71"/>
  <c r="G16" i="35"/>
  <c r="E16" i="35"/>
  <c r="M110" i="70"/>
  <c r="M70" i="70"/>
  <c r="M101" i="70"/>
  <c r="M102" i="70"/>
  <c r="M104" i="70"/>
  <c r="M105" i="70"/>
  <c r="M107" i="70"/>
  <c r="M108" i="70"/>
  <c r="M109" i="70"/>
  <c r="M99" i="70"/>
  <c r="AC102" i="7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E114" i="71" s="1"/>
  <c r="AC107" i="71"/>
  <c r="AD107" i="71"/>
  <c r="AE107" i="71"/>
  <c r="AC108" i="71"/>
  <c r="AD108" i="7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69" i="71"/>
  <c r="AC84" i="71" s="1"/>
  <c r="AD69" i="71"/>
  <c r="AE69" i="71"/>
  <c r="AE84" i="71" s="1"/>
  <c r="AC54" i="71"/>
  <c r="AC29" i="71" s="1"/>
  <c r="AD54" i="71"/>
  <c r="AD29" i="71" s="1"/>
  <c r="AE54" i="71"/>
  <c r="AE29" i="71" s="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AE19" i="69"/>
  <c r="AD19" i="69"/>
  <c r="AC19" i="69"/>
  <c r="AE4" i="69"/>
  <c r="AD4" i="69"/>
  <c r="AC4" i="69"/>
  <c r="N19" i="68" l="1"/>
  <c r="N27" i="70"/>
  <c r="N22" i="70"/>
  <c r="N18" i="70"/>
  <c r="M24" i="70"/>
  <c r="M19" i="68"/>
  <c r="AH14" i="71"/>
  <c r="AH29" i="71" s="1"/>
  <c r="M14" i="70"/>
  <c r="M4" i="68"/>
  <c r="AF23" i="71"/>
  <c r="M103" i="70"/>
  <c r="AD84" i="71"/>
  <c r="AG14" i="71"/>
  <c r="AG29" i="71" s="1"/>
  <c r="N19" i="70"/>
  <c r="AD114" i="71"/>
  <c r="AH24" i="71"/>
  <c r="N26" i="70"/>
  <c r="AF114" i="71"/>
  <c r="AH114" i="71"/>
  <c r="AG84" i="71"/>
  <c r="N24" i="70"/>
  <c r="AC114" i="71"/>
  <c r="AF22" i="71"/>
  <c r="N105" i="70"/>
  <c r="N75" i="70"/>
  <c r="M100" i="70"/>
  <c r="M111" i="70" s="1"/>
  <c r="N104" i="70"/>
  <c r="N74" i="70"/>
  <c r="N21" i="70"/>
  <c r="N103" i="70"/>
  <c r="N73" i="70"/>
  <c r="M106" i="70"/>
  <c r="N17" i="70"/>
  <c r="N99" i="70"/>
  <c r="N69" i="70"/>
  <c r="N20" i="70"/>
  <c r="N102" i="70"/>
  <c r="N72" i="70"/>
  <c r="N109" i="70"/>
  <c r="N79" i="70"/>
  <c r="N101" i="70"/>
  <c r="N71" i="70"/>
  <c r="N108" i="70"/>
  <c r="N78" i="70"/>
  <c r="N100" i="70"/>
  <c r="N70" i="70"/>
  <c r="M77" i="70"/>
  <c r="N25" i="70"/>
  <c r="N107" i="70"/>
  <c r="N77" i="70"/>
  <c r="N51" i="70"/>
  <c r="N23" i="70"/>
  <c r="N76" i="70"/>
  <c r="N106" i="70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N14" i="70" l="1"/>
  <c r="N29" i="70" s="1"/>
  <c r="N81" i="70"/>
  <c r="N111" i="70"/>
  <c r="M69" i="70"/>
  <c r="M20" i="70"/>
  <c r="M9" i="35"/>
  <c r="M17" i="70" l="1"/>
  <c r="M51" i="70"/>
  <c r="M16" i="35"/>
  <c r="M6" i="35"/>
  <c r="M25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L25" i="35"/>
  <c r="K25" i="35"/>
  <c r="J25" i="35"/>
  <c r="I25" i="35"/>
  <c r="H25" i="35"/>
  <c r="G25" i="35"/>
  <c r="F25" i="35"/>
  <c r="E25" i="35"/>
  <c r="L31" i="35"/>
  <c r="L33" i="35"/>
  <c r="K31" i="35"/>
  <c r="J31" i="35"/>
  <c r="K34" i="35"/>
  <c r="K36" i="35"/>
  <c r="J36" i="35"/>
  <c r="I31" i="35"/>
  <c r="I34" i="35"/>
  <c r="F31" i="35"/>
  <c r="F34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H59" i="60" l="1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J66" i="60" s="1"/>
  <c r="J67" i="60" s="1"/>
  <c r="K66" i="60" s="1"/>
  <c r="K67" i="60" s="1"/>
  <c r="L66" i="60" s="1"/>
  <c r="L67" i="60" s="1"/>
  <c r="I72" i="22"/>
  <c r="I80" i="22" s="1"/>
  <c r="J79" i="22" s="1"/>
  <c r="J80" i="22" s="1"/>
  <c r="H72" i="22"/>
  <c r="H80" i="22" s="1"/>
  <c r="I79" i="22" s="1"/>
  <c r="F102" i="71" l="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F25" i="60"/>
  <c r="E25" i="60"/>
  <c r="G44" i="35" l="1"/>
  <c r="G45" i="35" s="1"/>
  <c r="L16" i="35"/>
  <c r="J16" i="35"/>
  <c r="F16" i="35"/>
  <c r="I16" i="35"/>
  <c r="K6" i="35"/>
  <c r="K3" i="35"/>
  <c r="K2" i="35"/>
  <c r="G6" i="35"/>
  <c r="G3" i="35"/>
  <c r="G2" i="35"/>
  <c r="I25" i="60" l="1"/>
  <c r="H44" i="35"/>
  <c r="H45" i="35" s="1"/>
  <c r="G25" i="60"/>
  <c r="K16" i="35"/>
  <c r="J25" i="60" s="1"/>
  <c r="H16" i="35"/>
  <c r="H25" i="60"/>
  <c r="F4" i="35"/>
  <c r="F9" i="35" s="1"/>
  <c r="G4" i="35"/>
  <c r="G9" i="35" s="1"/>
  <c r="I4" i="35"/>
  <c r="I9" i="35" s="1"/>
  <c r="J4" i="35"/>
  <c r="J9" i="35" s="1"/>
  <c r="K4" i="35"/>
  <c r="K9" i="35" s="1"/>
  <c r="E4" i="35"/>
  <c r="I44" i="35" l="1"/>
  <c r="I45" i="35" s="1"/>
  <c r="F61" i="22"/>
  <c r="G61" i="22"/>
  <c r="J44" i="35" l="1"/>
  <c r="J45" i="35" s="1"/>
  <c r="K44" i="35" s="1"/>
  <c r="K45" i="35" l="1"/>
  <c r="L44" i="35" s="1"/>
  <c r="L45" i="35" s="1"/>
  <c r="M44" i="35" s="1"/>
  <c r="M45" i="35" s="1"/>
  <c r="N44" i="35" s="1"/>
  <c r="N45" i="35" s="1"/>
  <c r="O44" i="35" s="1"/>
  <c r="O45" i="35" s="1"/>
  <c r="P44" i="35" s="1"/>
  <c r="P45" i="35" s="1"/>
  <c r="K4" i="68" l="1"/>
  <c r="I4" i="68"/>
  <c r="H4" i="68"/>
  <c r="G4" i="68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J4" i="68" l="1"/>
  <c r="L4" i="68"/>
  <c r="F4" i="67"/>
  <c r="E4" i="67"/>
  <c r="E4" i="68"/>
  <c r="F4" i="68"/>
  <c r="E19" i="67" l="1"/>
  <c r="F19" i="67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18" i="71"/>
  <c r="F18" i="71"/>
  <c r="G18" i="71"/>
  <c r="H18" i="71"/>
  <c r="I18" i="71"/>
  <c r="J18" i="71"/>
  <c r="K18" i="71"/>
  <c r="L18" i="71"/>
  <c r="M18" i="71"/>
  <c r="O18" i="71"/>
  <c r="P18" i="71"/>
  <c r="Q18" i="71"/>
  <c r="R18" i="71"/>
  <c r="S18" i="71"/>
  <c r="T18" i="71"/>
  <c r="U18" i="71"/>
  <c r="V18" i="71"/>
  <c r="W18" i="71"/>
  <c r="X18" i="71"/>
  <c r="Y18" i="71"/>
  <c r="Z18" i="71"/>
  <c r="AA18" i="71"/>
  <c r="AB18" i="71"/>
  <c r="E19" i="71"/>
  <c r="F19" i="71"/>
  <c r="G19" i="71"/>
  <c r="H19" i="71"/>
  <c r="I19" i="71"/>
  <c r="J19" i="71"/>
  <c r="K19" i="71"/>
  <c r="L19" i="71"/>
  <c r="M19" i="71"/>
  <c r="N19" i="71"/>
  <c r="O19" i="71"/>
  <c r="P19" i="71"/>
  <c r="Q19" i="71"/>
  <c r="R19" i="71"/>
  <c r="S19" i="71"/>
  <c r="T19" i="71"/>
  <c r="U19" i="71"/>
  <c r="V19" i="71"/>
  <c r="W19" i="71"/>
  <c r="X19" i="71"/>
  <c r="Y19" i="71"/>
  <c r="Z19" i="71"/>
  <c r="AA19" i="71"/>
  <c r="AB19" i="71"/>
  <c r="E20" i="71"/>
  <c r="F20" i="71"/>
  <c r="G20" i="71"/>
  <c r="H20" i="71"/>
  <c r="I20" i="71"/>
  <c r="J20" i="71"/>
  <c r="K20" i="71"/>
  <c r="L20" i="71"/>
  <c r="M20" i="71"/>
  <c r="N20" i="71"/>
  <c r="O20" i="71"/>
  <c r="P20" i="71"/>
  <c r="Q20" i="71"/>
  <c r="R20" i="71"/>
  <c r="S20" i="71"/>
  <c r="T20" i="71"/>
  <c r="U20" i="71"/>
  <c r="V20" i="71"/>
  <c r="W20" i="71"/>
  <c r="X20" i="71"/>
  <c r="Y20" i="71"/>
  <c r="Z20" i="71"/>
  <c r="AA20" i="71"/>
  <c r="AB20" i="71"/>
  <c r="E21" i="71"/>
  <c r="F21" i="71"/>
  <c r="G21" i="71"/>
  <c r="H21" i="71"/>
  <c r="I21" i="71"/>
  <c r="J21" i="71"/>
  <c r="K21" i="71"/>
  <c r="L21" i="71"/>
  <c r="M21" i="71"/>
  <c r="N21" i="71"/>
  <c r="O21" i="71"/>
  <c r="P21" i="71"/>
  <c r="Q21" i="71"/>
  <c r="R21" i="71"/>
  <c r="S21" i="71"/>
  <c r="T21" i="71"/>
  <c r="U21" i="71"/>
  <c r="V21" i="71"/>
  <c r="W21" i="71"/>
  <c r="X21" i="71"/>
  <c r="Y21" i="71"/>
  <c r="Z21" i="71"/>
  <c r="AA21" i="71"/>
  <c r="AB21" i="71"/>
  <c r="E22" i="71"/>
  <c r="F22" i="71"/>
  <c r="G22" i="71"/>
  <c r="H22" i="71"/>
  <c r="I22" i="71"/>
  <c r="J22" i="71"/>
  <c r="K22" i="71"/>
  <c r="L22" i="71"/>
  <c r="M22" i="71"/>
  <c r="N22" i="71"/>
  <c r="O22" i="71"/>
  <c r="P22" i="71"/>
  <c r="Q22" i="71"/>
  <c r="R22" i="71"/>
  <c r="S22" i="71"/>
  <c r="T22" i="71"/>
  <c r="U22" i="71"/>
  <c r="V22" i="71"/>
  <c r="W22" i="71"/>
  <c r="X22" i="71"/>
  <c r="Y22" i="71"/>
  <c r="Z22" i="71"/>
  <c r="AA22" i="71"/>
  <c r="AB22" i="71"/>
  <c r="E23" i="71"/>
  <c r="F23" i="71"/>
  <c r="G23" i="71"/>
  <c r="H23" i="71"/>
  <c r="I23" i="71"/>
  <c r="J23" i="71"/>
  <c r="K23" i="71"/>
  <c r="L23" i="71"/>
  <c r="M23" i="71"/>
  <c r="N23" i="71"/>
  <c r="O23" i="71"/>
  <c r="P23" i="71"/>
  <c r="Q23" i="71"/>
  <c r="R23" i="71"/>
  <c r="S23" i="71"/>
  <c r="T23" i="71"/>
  <c r="U23" i="71"/>
  <c r="V23" i="71"/>
  <c r="W23" i="71"/>
  <c r="X23" i="71"/>
  <c r="Y23" i="71"/>
  <c r="Z23" i="71"/>
  <c r="AA23" i="71"/>
  <c r="AB23" i="71"/>
  <c r="E24" i="71"/>
  <c r="F24" i="71"/>
  <c r="G24" i="71"/>
  <c r="H24" i="71"/>
  <c r="I24" i="71"/>
  <c r="J24" i="71"/>
  <c r="K24" i="71"/>
  <c r="L24" i="71"/>
  <c r="M24" i="71"/>
  <c r="N24" i="71"/>
  <c r="O24" i="71"/>
  <c r="P24" i="71"/>
  <c r="Q24" i="71"/>
  <c r="R24" i="71"/>
  <c r="S24" i="71"/>
  <c r="T24" i="71"/>
  <c r="U24" i="71"/>
  <c r="V24" i="71"/>
  <c r="W24" i="71"/>
  <c r="X24" i="71"/>
  <c r="Y24" i="71"/>
  <c r="Z24" i="71"/>
  <c r="AA24" i="71"/>
  <c r="AB24" i="71"/>
  <c r="E25" i="71"/>
  <c r="F25" i="71"/>
  <c r="G25" i="71"/>
  <c r="H25" i="71"/>
  <c r="I25" i="71"/>
  <c r="J25" i="71"/>
  <c r="K25" i="71"/>
  <c r="L25" i="71"/>
  <c r="M25" i="71"/>
  <c r="N25" i="71"/>
  <c r="O25" i="71"/>
  <c r="P25" i="71"/>
  <c r="Q25" i="71"/>
  <c r="R25" i="71"/>
  <c r="S25" i="71"/>
  <c r="T25" i="71"/>
  <c r="U25" i="71"/>
  <c r="V25" i="71"/>
  <c r="W25" i="71"/>
  <c r="X25" i="71"/>
  <c r="Y25" i="71"/>
  <c r="Z25" i="71"/>
  <c r="AA25" i="71"/>
  <c r="AB25" i="71"/>
  <c r="E26" i="71"/>
  <c r="F26" i="71"/>
  <c r="G26" i="71"/>
  <c r="H26" i="71"/>
  <c r="I26" i="71"/>
  <c r="J26" i="71"/>
  <c r="K26" i="71"/>
  <c r="L26" i="71"/>
  <c r="M26" i="71"/>
  <c r="N26" i="71"/>
  <c r="O26" i="71"/>
  <c r="P26" i="71"/>
  <c r="Q26" i="71"/>
  <c r="R26" i="71"/>
  <c r="S26" i="71"/>
  <c r="T26" i="71"/>
  <c r="U26" i="71"/>
  <c r="V26" i="71"/>
  <c r="W26" i="71"/>
  <c r="X26" i="71"/>
  <c r="Y26" i="71"/>
  <c r="Z26" i="71"/>
  <c r="AA26" i="71"/>
  <c r="AB26" i="71"/>
  <c r="E27" i="71"/>
  <c r="F27" i="71"/>
  <c r="G27" i="71"/>
  <c r="H27" i="71"/>
  <c r="I27" i="71"/>
  <c r="J27" i="71"/>
  <c r="K27" i="71"/>
  <c r="L27" i="71"/>
  <c r="M27" i="71"/>
  <c r="N27" i="71"/>
  <c r="O27" i="71"/>
  <c r="P27" i="71"/>
  <c r="Q27" i="71"/>
  <c r="R27" i="71"/>
  <c r="S27" i="71"/>
  <c r="T27" i="71"/>
  <c r="U27" i="71"/>
  <c r="V27" i="71"/>
  <c r="W27" i="71"/>
  <c r="X27" i="71"/>
  <c r="Y27" i="71"/>
  <c r="Z27" i="71"/>
  <c r="AA27" i="71"/>
  <c r="AB27" i="71"/>
  <c r="F17" i="71"/>
  <c r="H17" i="71"/>
  <c r="J17" i="71"/>
  <c r="K17" i="71"/>
  <c r="L17" i="71"/>
  <c r="N17" i="71"/>
  <c r="P17" i="71"/>
  <c r="R17" i="71"/>
  <c r="S17" i="71"/>
  <c r="T17" i="71"/>
  <c r="V17" i="71"/>
  <c r="X17" i="71"/>
  <c r="Z17" i="71"/>
  <c r="AA17" i="71"/>
  <c r="AB17" i="71"/>
  <c r="E17" i="71"/>
  <c r="I101" i="70"/>
  <c r="K101" i="70"/>
  <c r="L101" i="70"/>
  <c r="I103" i="70"/>
  <c r="K103" i="70"/>
  <c r="L103" i="70"/>
  <c r="I105" i="70"/>
  <c r="J105" i="70"/>
  <c r="K105" i="70"/>
  <c r="L105" i="70"/>
  <c r="I107" i="70"/>
  <c r="K107" i="70"/>
  <c r="L107" i="70"/>
  <c r="I109" i="70"/>
  <c r="K109" i="70"/>
  <c r="L109" i="70"/>
  <c r="L99" i="70"/>
  <c r="K99" i="70"/>
  <c r="J99" i="70"/>
  <c r="I99" i="70"/>
  <c r="F100" i="70"/>
  <c r="G100" i="70"/>
  <c r="E101" i="70"/>
  <c r="G101" i="70"/>
  <c r="H101" i="70"/>
  <c r="F102" i="70"/>
  <c r="G102" i="70"/>
  <c r="E103" i="70"/>
  <c r="F103" i="70"/>
  <c r="G103" i="70"/>
  <c r="F104" i="70"/>
  <c r="G104" i="70"/>
  <c r="E105" i="70"/>
  <c r="F105" i="70"/>
  <c r="G105" i="70"/>
  <c r="H105" i="70"/>
  <c r="F106" i="70"/>
  <c r="G106" i="70"/>
  <c r="E107" i="70"/>
  <c r="F107" i="70"/>
  <c r="G107" i="70"/>
  <c r="H107" i="70"/>
  <c r="F108" i="70"/>
  <c r="G108" i="70"/>
  <c r="E109" i="70"/>
  <c r="F109" i="70"/>
  <c r="G109" i="70"/>
  <c r="H109" i="70"/>
  <c r="G99" i="70"/>
  <c r="I14" i="70"/>
  <c r="H108" i="70" l="1"/>
  <c r="H106" i="70"/>
  <c r="H104" i="70"/>
  <c r="H102" i="70"/>
  <c r="H100" i="70"/>
  <c r="E108" i="70"/>
  <c r="E106" i="70"/>
  <c r="E104" i="70"/>
  <c r="E100" i="70"/>
  <c r="H14" i="70"/>
  <c r="E14" i="70"/>
  <c r="E99" i="70"/>
  <c r="L108" i="70"/>
  <c r="L106" i="70"/>
  <c r="L104" i="70"/>
  <c r="L102" i="70"/>
  <c r="L100" i="70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K111" i="70" l="1"/>
  <c r="E111" i="70"/>
  <c r="L111" i="70"/>
  <c r="F111" i="70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100" i="63" l="1"/>
  <c r="F101" i="63"/>
  <c r="F102" i="63"/>
  <c r="F103" i="63"/>
  <c r="F104" i="63"/>
  <c r="F105" i="63"/>
  <c r="F106" i="63"/>
  <c r="F107" i="63"/>
  <c r="F108" i="63"/>
  <c r="F109" i="63"/>
  <c r="F110" i="63"/>
  <c r="F99" i="63"/>
  <c r="E100" i="63"/>
  <c r="E101" i="63"/>
  <c r="E102" i="63"/>
  <c r="E103" i="63"/>
  <c r="E104" i="63"/>
  <c r="E105" i="63"/>
  <c r="E106" i="63"/>
  <c r="E107" i="63"/>
  <c r="E108" i="63"/>
  <c r="E109" i="63"/>
  <c r="E110" i="63"/>
  <c r="E99" i="63"/>
  <c r="F18" i="63"/>
  <c r="F19" i="63"/>
  <c r="F20" i="63"/>
  <c r="F21" i="63"/>
  <c r="F22" i="63"/>
  <c r="F23" i="63"/>
  <c r="F24" i="63"/>
  <c r="F25" i="63"/>
  <c r="F26" i="63"/>
  <c r="F27" i="63"/>
  <c r="F17" i="63"/>
  <c r="E18" i="63"/>
  <c r="E19" i="63"/>
  <c r="E20" i="63"/>
  <c r="E21" i="63"/>
  <c r="E22" i="63"/>
  <c r="E23" i="63"/>
  <c r="E24" i="63"/>
  <c r="E25" i="63"/>
  <c r="E26" i="63"/>
  <c r="E27" i="63"/>
  <c r="E17" i="63"/>
  <c r="F51" i="63"/>
  <c r="E51" i="63"/>
  <c r="F14" i="63" l="1"/>
  <c r="F29" i="63" s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J3" i="60"/>
  <c r="J2" i="60"/>
  <c r="L4" i="35" s="1"/>
  <c r="L9" i="35" s="1"/>
  <c r="H3" i="60"/>
  <c r="H2" i="60"/>
  <c r="H6" i="60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4" i="35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B29" i="71" s="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<sst xmlns="http://schemas.openxmlformats.org/spreadsheetml/2006/main" count="1513" uniqueCount="164">
  <si>
    <t>General</t>
  </si>
  <si>
    <t>Another</t>
  </si>
  <si>
    <t>Export</t>
  </si>
  <si>
    <t>Average</t>
  </si>
  <si>
    <t>Total sales by sector, MTJS</t>
  </si>
  <si>
    <t>Collection level by sector, %</t>
  </si>
  <si>
    <t>BT, MTJS Income Statement</t>
  </si>
  <si>
    <t>Financial income</t>
  </si>
  <si>
    <t>Depreciation</t>
  </si>
  <si>
    <t>Interest expenses</t>
  </si>
  <si>
    <t>Provisions</t>
  </si>
  <si>
    <t>Tax</t>
  </si>
  <si>
    <t>Gross profit</t>
  </si>
  <si>
    <t>EBITDA</t>
  </si>
  <si>
    <t>Net profit</t>
  </si>
  <si>
    <t>EBIT</t>
  </si>
  <si>
    <t>Q1-23</t>
  </si>
  <si>
    <t>Q2-23</t>
  </si>
  <si>
    <t>Q3-23</t>
  </si>
  <si>
    <t>Q4-23</t>
  </si>
  <si>
    <t>Unit</t>
  </si>
  <si>
    <t>Comment/link</t>
  </si>
  <si>
    <t>GWh</t>
  </si>
  <si>
    <t>PPE</t>
  </si>
  <si>
    <t>Intangible assets</t>
  </si>
  <si>
    <t>Accounts receivable</t>
  </si>
  <si>
    <t>Other non-current assets</t>
  </si>
  <si>
    <t>Non-current advances</t>
  </si>
  <si>
    <t>BT, MTJS assets</t>
  </si>
  <si>
    <t>Inventory</t>
  </si>
  <si>
    <t>Current achievements</t>
  </si>
  <si>
    <t>Tax advance payments</t>
  </si>
  <si>
    <t>Cash and cash equivalents</t>
  </si>
  <si>
    <t>Total non-current assets</t>
  </si>
  <si>
    <t>Total current assets</t>
  </si>
  <si>
    <t>Total assets</t>
  </si>
  <si>
    <t>Cash flows BT, MTJS</t>
  </si>
  <si>
    <t>Electricity sales</t>
  </si>
  <si>
    <t>Other operating cash flows</t>
  </si>
  <si>
    <t>Purchase of inventory</t>
  </si>
  <si>
    <t>Purchase of electricity</t>
  </si>
  <si>
    <t>Payroll calculation</t>
  </si>
  <si>
    <t>Services</t>
  </si>
  <si>
    <t>BT, MTJS obligations</t>
  </si>
  <si>
    <t>Long-term loans</t>
  </si>
  <si>
    <t>Bonds</t>
  </si>
  <si>
    <t>Other long-term liabilities</t>
  </si>
  <si>
    <t>Total long-term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</si>
  <si>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</si>
  <si>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</si>
  <si>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</si>
  <si>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</si>
  <si>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</si>
  <si>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</si>
  <si>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</si>
  <si>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Purchase/sale of personal protective equipment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</si>
  <si>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</si>
  <si>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</si>
  <si>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</si>
  <si>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</si>
  <si>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</si>
  <si>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(excluding interest payments)</t>
  </si>
  <si>
    <t>Counterparty accounts receivable, MTJS</t>
  </si>
  <si>
    <t>Trade payables, MTJS</t>
  </si>
  <si>
    <t>Other counterparties</t>
  </si>
  <si>
    <t>MTZhS</t>
  </si>
  <si>
    <t>%</t>
  </si>
  <si>
    <t>Net margin</t>
  </si>
  <si>
    <t>Current assets of BT, MTJS</t>
  </si>
  <si>
    <t>Revenue and margin of BT, MTJS</t>
  </si>
  <si>
    <t>Total liabilities</t>
  </si>
  <si>
    <t>Q3-24</t>
  </si>
  <si>
    <t>Q4-24</t>
  </si>
  <si>
    <t>Q1-24</t>
  </si>
  <si>
    <t>Q2-24</t>
  </si>
  <si>
    <t>Ratio</t>
  </si>
  <si>
    <t>BT Debt Service Coverage Ratio</t>
  </si>
  <si>
    <t>Debt service coverage ratio</t>
  </si>
  <si>
    <t>H1-20222</t>
  </si>
  <si>
    <t>2nd half of 2022</t>
  </si>
  <si>
    <t>H1-20223</t>
  </si>
  <si>
    <t>2nd half of 2023</t>
  </si>
  <si>
    <t>2nd half of 2024</t>
  </si>
  <si>
    <t>Talko</t>
  </si>
  <si>
    <t>Public</t>
  </si>
  <si>
    <t>Pumps</t>
  </si>
  <si>
    <t>Residential</t>
  </si>
  <si>
    <t>Number of clients by sector</t>
  </si>
  <si>
    <t>#</t>
  </si>
  <si>
    <t>Average sales per customer by sector, MTJS</t>
  </si>
  <si>
    <t>Average payment delay by sector, days</t>
  </si>
  <si>
    <t>Total outstanding payments, msomoni</t>
  </si>
  <si>
    <t>Average tariff by sector, somoni/kWh</t>
  </si>
  <si>
    <t>Electricity consumption by sector, GWh</t>
  </si>
  <si>
    <t>Distribution losses</t>
  </si>
  <si>
    <t>Electricity received from SIB, GWh</t>
  </si>
  <si>
    <t>Electricity is obtained from SIB</t>
  </si>
  <si>
    <t>Total cash receipts by sector, MTJS</t>
  </si>
  <si>
    <t>Sales revenue</t>
  </si>
  <si>
    <t>Operating expenses</t>
  </si>
  <si>
    <t>Industrial and commercial (except Talco and Azod)</t>
  </si>
  <si>
    <t>Nitrogen</t>
  </si>
  <si>
    <t>Other non-operating</t>
  </si>
  <si>
    <t>OJSC TALCO</t>
  </si>
  <si>
    <t>KM CT "Tajikkhimprom" Yovon</t>
  </si>
  <si>
    <t>JSC Azot</t>
  </si>
  <si>
    <t>Republican Water Supply and Sewerage</t>
  </si>
  <si>
    <t>Pumps</t>
  </si>
  <si>
    <t>Total</t>
  </si>
  <si>
    <t>Other operating payments</t>
  </si>
  <si>
    <t>GWh</t>
  </si>
  <si>
    <t>Industrial and commercial (excluding TALCO and AZOD)</t>
  </si>
  <si>
    <t>Tajik Metallurgical Plant</t>
  </si>
  <si>
    <t>Average tariff</t>
  </si>
  <si>
    <t>Public</t>
  </si>
  <si>
    <t>Sewage pumps</t>
  </si>
  <si>
    <t>Irrigation pumps</t>
  </si>
  <si>
    <t>TALCO</t>
  </si>
  <si>
    <t>emergency</t>
  </si>
  <si>
    <t>MTJS</t>
  </si>
  <si>
    <t>TJS/kWh</t>
  </si>
  <si>
    <t>Electricity is supplied by BT</t>
  </si>
  <si>
    <t>Electricity supplied by BT</t>
  </si>
  <si>
    <t>OJSC "Barki Tojik"</t>
  </si>
  <si>
    <t>Nokili TALCO</t>
  </si>
  <si>
    <t>JSC "Transformer"</t>
  </si>
  <si>
    <t>Taxes</t>
  </si>
  <si>
    <t>The total amount of outstanding payments to the 20 largest debtors, million soms</t>
  </si>
  <si>
    <t>OAO Shirkati Alumnii Tochik</t>
  </si>
  <si>
    <t>KM CT "Tochikkimiyosanoat" Java</t>
  </si>
  <si>
    <t>CSC "Azot"</t>
  </si>
  <si>
    <t>HPP "Rogun"</t>
  </si>
  <si>
    <t>KM Adrasmon</t>
  </si>
  <si>
    <t>Town Zarnisor Kairakkum</t>
  </si>
  <si>
    <t>OAO "Angisht" Isfara</t>
  </si>
  <si>
    <t xml:space="preserve"> OAO "Tamokhush-ZGMI" g. Isfarah</t>
  </si>
  <si>
    <t>LLC "Angubin Maschokh"</t>
  </si>
  <si>
    <t>CHDMM Tajik-Chinese Mining Company Kayrakkum</t>
  </si>
  <si>
    <t>CHDMM Tajik-Chinese Mining Company Mastchokh</t>
  </si>
  <si>
    <t>SUE "Sementi Tochik"</t>
  </si>
  <si>
    <t>Dushanbevodokanal</t>
  </si>
  <si>
    <t>AMiI at Pr-ve RT pumping stations</t>
  </si>
  <si>
    <t>Agricultural organizations</t>
  </si>
  <si>
    <t>Budgetary organizations</t>
  </si>
  <si>
    <t>Strong commercial consumers</t>
  </si>
  <si>
    <t xml:space="preserve"> Population</t>
  </si>
  <si>
    <t>JSC "Pomirenergy"</t>
  </si>
  <si>
    <t>,</t>
  </si>
  <si>
    <t>Cash at the beginning of the reporting period</t>
  </si>
  <si>
    <t>JSC "Shabakahoi intikoli bark"</t>
  </si>
  <si>
    <t>Industrial and commercial</t>
  </si>
  <si>
    <t>Population</t>
  </si>
  <si>
    <t>Qty</t>
  </si>
  <si>
    <t>ChSK "Shabakahoi intikoli bark"</t>
  </si>
  <si>
    <t>Nokili Talko</t>
  </si>
  <si>
    <t>JSC Transformer</t>
  </si>
  <si>
    <t>ChSK "Somon Kulob - tachkhizot"</t>
  </si>
  <si>
    <t>Q1-25</t>
  </si>
  <si>
    <t>Q2-25</t>
  </si>
  <si>
    <t>H1-2025</t>
  </si>
  <si>
    <t>H1-2024</t>
  </si>
  <si>
    <t>Q3-25</t>
  </si>
  <si>
    <t>2nd half of 2025</t>
  </si>
  <si>
    <t>Q4-25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</si>
</sst>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  <numFmt numFmtId="173" formatCode="_-* #,##0.00\ _₽_-;\-* #,##0.00\ _₽_-;_-* &quot;-&quot;??\ _₽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5" fontId="28" fillId="2" borderId="1" xfId="2" applyNumberFormat="1" applyFont="1" applyFill="1" applyBorder="1"/>
    <xf numFmtId="165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1" fillId="2" borderId="0" xfId="2" applyNumberFormat="1" applyFont="1" applyFill="1"/>
    <xf numFmtId="171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1" fontId="28" fillId="2" borderId="0" xfId="2" applyNumberFormat="1" applyFont="1" applyFill="1"/>
    <xf numFmtId="164" fontId="9" fillId="2" borderId="0" xfId="7" applyFont="1" applyFill="1"/>
    <xf numFmtId="173" fontId="9" fillId="2" borderId="0" xfId="2" applyNumberFormat="1" applyFont="1" applyFill="1"/>
    <xf numFmtId="0" fontId="23" fillId="0" borderId="0" xfId="2" applyFont="1"/>
    <xf numFmtId="168" fontId="23" fillId="2" borderId="0" xfId="2" applyNumberFormat="1" applyFont="1" applyFill="1"/>
    <xf numFmtId="0" fontId="9" fillId="2" borderId="0" xfId="2" applyFont="1" applyFill="1" applyAlignment="1"/>
    <xf numFmtId="0" fontId="7" fillId="2" borderId="4" xfId="3" applyFont="1" applyFill="1" applyBorder="1"/>
    <xf numFmtId="165" fontId="5" fillId="2" borderId="7" xfId="3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right" vertical="center" wrapText="1"/>
    </xf>
    <xf numFmtId="3" fontId="23" fillId="0" borderId="2" xfId="2" applyNumberFormat="1" applyFont="1" applyBorder="1"/>
    <xf numFmtId="0" fontId="9" fillId="2" borderId="2" xfId="0" applyFont="1" applyFill="1" applyBorder="1" applyAlignment="1">
      <alignment horizontal="right" vertical="center" wrapText="1"/>
    </xf>
    <xf numFmtId="1" fontId="9" fillId="0" borderId="0" xfId="2" applyNumberFormat="1" applyFont="1"/>
    <xf numFmtId="1" fontId="23" fillId="0" borderId="0" xfId="2" applyNumberFormat="1" applyFont="1"/>
  </cellXfs>
  <cellStyles count="10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  <cellStyle name="Обычный 2" xfId="8" xr:uid="{04A22A91-E3F9-417A-812D-1AF17A37D1E3}"/>
    <cellStyle name="Финансовый 2" xfId="9" xr:uid="{88E61699-751B-410F-8B7D-EC19F8A79244}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L25" sqref="L2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7" width="9.3984375" style="7" customWidth="1"/>
    <col min="8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  <c r="G1" s="2">
        <v>2025</v>
      </c>
    </row>
    <row r="2" spans="1:29" ht="16.350000000000001" customHeight="1">
      <c r="B2" s="11" t="s">
        <v>96</v>
      </c>
      <c r="C2" s="9" t="s">
        <v>22</v>
      </c>
      <c r="D2" s="9"/>
      <c r="E2" s="64">
        <v>17810185209</v>
      </c>
      <c r="F2" s="64">
        <v>18703055514</v>
      </c>
      <c r="G2" s="127">
        <v>19670.844577</v>
      </c>
    </row>
    <row r="3" spans="1:29" ht="16.350000000000001" customHeight="1">
      <c r="B3" s="11" t="s">
        <v>122</v>
      </c>
      <c r="C3" s="9" t="s">
        <v>22</v>
      </c>
      <c r="D3" s="9"/>
      <c r="E3" s="64">
        <v>86256241</v>
      </c>
      <c r="F3" s="64">
        <v>60123775</v>
      </c>
      <c r="G3" s="127">
        <v>278.54150600000003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  <c r="G4" s="125">
        <f>SUM(G2:G3)</f>
        <v>19949.386083000001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  <c r="G6" s="2">
        <v>2025</v>
      </c>
    </row>
    <row r="7" spans="1:29" ht="16.350000000000001" customHeight="1">
      <c r="B7" s="44" t="s">
        <v>111</v>
      </c>
      <c r="C7" s="9" t="s">
        <v>110</v>
      </c>
      <c r="D7" s="37"/>
      <c r="E7" s="64">
        <v>2759753292.7667003</v>
      </c>
      <c r="F7" s="64">
        <v>3256957526.3828001</v>
      </c>
      <c r="G7" s="64">
        <v>4147996458.6985998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v>9897669.0399999991</v>
      </c>
      <c r="F8" s="64">
        <v>8899757.166489996</v>
      </c>
      <c r="G8" s="64">
        <v>12148328.843499999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v>20008757.5024</v>
      </c>
      <c r="F9" s="64">
        <v>18179232.949999999</v>
      </c>
      <c r="G9" s="64">
        <v>20905011.204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v>606678919.37199998</v>
      </c>
      <c r="F10" s="64">
        <v>635743772.24199998</v>
      </c>
      <c r="G10" s="64">
        <v>662767163.81110001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v>2081298157.2</v>
      </c>
      <c r="F11" s="64">
        <v>1652931329.9400001</v>
      </c>
      <c r="G11" s="64">
        <v>1995722650.6062999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v>648622898.63</v>
      </c>
      <c r="F12" s="64">
        <v>665916167.74900007</v>
      </c>
      <c r="G12" s="64">
        <v>533752657.44799995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v>229558141</v>
      </c>
      <c r="F13" s="64">
        <v>469285297.22000003</v>
      </c>
      <c r="G13" s="64">
        <v>109457933.95341969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v>1731908573.6300001</v>
      </c>
      <c r="F14" s="64">
        <v>2037759758.46</v>
      </c>
      <c r="G14" s="64">
        <v>2203894440.73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v>9797192</v>
      </c>
      <c r="F15" s="64">
        <v>21349503.100000001</v>
      </c>
      <c r="G15" s="64">
        <v>29305027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v>117133296</v>
      </c>
      <c r="F16" s="64">
        <v>107296474</v>
      </c>
      <c r="G16" s="64">
        <v>103873838.88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v>5831051614.0500002</v>
      </c>
      <c r="F17" s="64">
        <v>6244680352.9359999</v>
      </c>
      <c r="G17" s="64">
        <v>7007668152.1269989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3850732938.8088989</v>
      </c>
      <c r="F18" s="64">
        <v>3644180116.8537102</v>
      </c>
      <c r="G18" s="64">
        <v>3121919720.6539102</v>
      </c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  <c r="G19" s="70">
        <f>SUM(G7:G18)</f>
        <v>19949411383.95583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P6" sqref="P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9.3984375" style="7" customWidth="1"/>
    <col min="16" max="16" width="10.86328125" style="7" bestFit="1" customWidth="1"/>
    <col min="17" max="16384" width="8" style="7"/>
  </cols>
  <sheetData>
    <row r="1" spans="1:29" s="6" customFormat="1" ht="15.4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157</v>
      </c>
      <c r="N1" s="68" t="s">
        <v>158</v>
      </c>
      <c r="O1" s="68" t="s">
        <v>161</v>
      </c>
      <c r="P1" s="68" t="s">
        <v>163</v>
      </c>
    </row>
    <row r="2" spans="1:29">
      <c r="B2" s="11" t="s">
        <v>96</v>
      </c>
      <c r="C2" s="9" t="s">
        <v>22</v>
      </c>
      <c r="D2" s="9"/>
      <c r="E2" s="64">
        <v>4904510811</v>
      </c>
      <c r="F2" s="64">
        <v>4185951169</v>
      </c>
      <c r="G2" s="64">
        <v>4420040881</v>
      </c>
      <c r="H2" s="64">
        <v>4299682348</v>
      </c>
      <c r="I2" s="64">
        <v>4849556108</v>
      </c>
      <c r="J2" s="64">
        <v>4162631645</v>
      </c>
      <c r="K2" s="64">
        <v>4841941082</v>
      </c>
      <c r="L2" s="64">
        <v>4848926679</v>
      </c>
      <c r="M2" s="7">
        <v>5407.38</v>
      </c>
      <c r="N2" s="127">
        <v>4776.4050000000007</v>
      </c>
      <c r="O2" s="126">
        <v>5104.4040000000005</v>
      </c>
      <c r="P2" s="127">
        <v>4382.6555770000004</v>
      </c>
    </row>
    <row r="3" spans="1:29">
      <c r="B3" s="11" t="s">
        <v>121</v>
      </c>
      <c r="C3" s="9" t="s">
        <v>22</v>
      </c>
      <c r="D3" s="9"/>
      <c r="E3" s="64">
        <v>24436438</v>
      </c>
      <c r="F3" s="64">
        <v>27286370</v>
      </c>
      <c r="G3" s="64">
        <v>21579853</v>
      </c>
      <c r="H3" s="64">
        <v>12953580</v>
      </c>
      <c r="I3" s="64">
        <v>14565437</v>
      </c>
      <c r="J3" s="64">
        <v>19774973</v>
      </c>
      <c r="K3" s="64">
        <v>12195188</v>
      </c>
      <c r="L3" s="64">
        <v>13588177</v>
      </c>
      <c r="M3" s="7">
        <v>11.739999999999998</v>
      </c>
      <c r="N3" s="127">
        <v>20.774999999999999</v>
      </c>
      <c r="O3" s="126">
        <v>118.55500000000001</v>
      </c>
      <c r="P3" s="127">
        <v>127.47150600000001</v>
      </c>
    </row>
    <row r="4" spans="1:29" s="74" customFormat="1" ht="13.15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P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5">
        <f t="shared" si="0"/>
        <v>5419.12</v>
      </c>
      <c r="N4" s="125">
        <f t="shared" si="0"/>
        <v>4797.18</v>
      </c>
      <c r="O4" s="125">
        <f t="shared" si="0"/>
        <v>5222.9590000000007</v>
      </c>
      <c r="P4" s="125">
        <f t="shared" si="0"/>
        <v>4510.1270830000003</v>
      </c>
    </row>
    <row r="5" spans="1:29">
      <c r="B5" s="18"/>
      <c r="C5" s="17"/>
      <c r="D5" s="17"/>
    </row>
    <row r="6" spans="1:29" s="6" customFormat="1" ht="15.4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157</v>
      </c>
      <c r="N6" s="68" t="s">
        <v>158</v>
      </c>
      <c r="O6" s="68" t="s">
        <v>161</v>
      </c>
      <c r="P6" s="68" t="s">
        <v>163</v>
      </c>
    </row>
    <row r="7" spans="1:29" ht="16.350000000000001" customHeight="1">
      <c r="B7" s="44" t="s">
        <v>111</v>
      </c>
      <c r="C7" s="9" t="s">
        <v>110</v>
      </c>
      <c r="D7" s="37"/>
      <c r="E7" s="64">
        <v>638271419.54110003</v>
      </c>
      <c r="F7" s="64">
        <v>634232731.49000001</v>
      </c>
      <c r="G7" s="64">
        <v>721437550.64120007</v>
      </c>
      <c r="H7" s="64">
        <v>765811591.09440005</v>
      </c>
      <c r="I7" s="64">
        <v>755092795.20000017</v>
      </c>
      <c r="J7" s="64">
        <v>735367286.69999993</v>
      </c>
      <c r="K7" s="64">
        <v>856574969.04850006</v>
      </c>
      <c r="L7" s="64">
        <v>909922475.43429995</v>
      </c>
      <c r="M7" s="64">
        <v>921858950.86910009</v>
      </c>
      <c r="N7" s="64">
        <v>967019509.2974</v>
      </c>
      <c r="O7" s="64">
        <v>1141502718.8643</v>
      </c>
      <c r="P7" s="64">
        <v>1117615279.6677999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v>3802436.4</v>
      </c>
      <c r="F8" s="64">
        <v>1936043.8199999994</v>
      </c>
      <c r="G8" s="64">
        <v>1634180.5500000007</v>
      </c>
      <c r="H8" s="64">
        <v>2525008.2699999996</v>
      </c>
      <c r="I8" s="64">
        <v>2080536.8135999991</v>
      </c>
      <c r="J8" s="64">
        <v>1571788.7255899981</v>
      </c>
      <c r="K8" s="64">
        <v>2354326.2726999987</v>
      </c>
      <c r="L8" s="64">
        <v>2893105.3546000002</v>
      </c>
      <c r="M8" s="64">
        <v>3189674.6980999997</v>
      </c>
      <c r="N8" s="64">
        <v>1746232.6092000003</v>
      </c>
      <c r="O8" s="64">
        <v>2937601.4816999994</v>
      </c>
      <c r="P8" s="64">
        <v>4274820.0545000006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v>7047594.2524000006</v>
      </c>
      <c r="F9" s="64">
        <v>3506249.43</v>
      </c>
      <c r="G9" s="64">
        <v>4313574.05</v>
      </c>
      <c r="H9" s="64">
        <v>5141339.7700000005</v>
      </c>
      <c r="I9" s="64">
        <v>5493007.1799999997</v>
      </c>
      <c r="J9" s="64">
        <v>3273391.5</v>
      </c>
      <c r="K9" s="64">
        <v>3482647.36</v>
      </c>
      <c r="L9" s="64">
        <v>5930186.9100000001</v>
      </c>
      <c r="M9" s="64">
        <v>6669871.267</v>
      </c>
      <c r="N9" s="64">
        <v>3632579.2690000003</v>
      </c>
      <c r="O9" s="64">
        <v>4692574.3990000002</v>
      </c>
      <c r="P9" s="64">
        <v>5909986.2690000003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v>214522481.19</v>
      </c>
      <c r="F10" s="64">
        <v>109425279.33000001</v>
      </c>
      <c r="G10" s="64">
        <v>115335855.93200001</v>
      </c>
      <c r="H10" s="64">
        <v>167395302.91999999</v>
      </c>
      <c r="I10" s="64">
        <v>205401414.50999999</v>
      </c>
      <c r="J10" s="64">
        <v>119836924.69</v>
      </c>
      <c r="K10" s="64">
        <v>126716852.05130002</v>
      </c>
      <c r="L10" s="64">
        <v>183788580.99070001</v>
      </c>
      <c r="M10" s="64">
        <v>224168623.40809998</v>
      </c>
      <c r="N10" s="64">
        <v>128737485.45370001</v>
      </c>
      <c r="O10" s="64">
        <v>132741256.55020002</v>
      </c>
      <c r="P10" s="64">
        <v>177119798.39910001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v>78808405.400000006</v>
      </c>
      <c r="F11" s="64">
        <v>888071474.43000007</v>
      </c>
      <c r="G11" s="64">
        <v>1023178192.89</v>
      </c>
      <c r="H11" s="64">
        <v>91240084.480000004</v>
      </c>
      <c r="I11" s="64">
        <v>60466805.299999997</v>
      </c>
      <c r="J11" s="64">
        <v>628370909.94000006</v>
      </c>
      <c r="K11" s="64">
        <v>884521098.17999995</v>
      </c>
      <c r="L11" s="64">
        <v>79572516.519999996</v>
      </c>
      <c r="M11" s="64">
        <v>64382778.030000001</v>
      </c>
      <c r="N11" s="64">
        <v>854839339.40999997</v>
      </c>
      <c r="O11" s="64">
        <v>1014411920.295</v>
      </c>
      <c r="P11" s="64">
        <v>62088612.871299997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v>186174641.78</v>
      </c>
      <c r="F12" s="64">
        <v>152891299.93000001</v>
      </c>
      <c r="G12" s="64">
        <v>154284831.50999999</v>
      </c>
      <c r="H12" s="64">
        <v>155272125.41</v>
      </c>
      <c r="I12" s="64">
        <v>157132675.76999998</v>
      </c>
      <c r="J12" s="64">
        <v>147333687.37</v>
      </c>
      <c r="K12" s="64">
        <v>174971691.38300002</v>
      </c>
      <c r="L12" s="64">
        <v>186478113.22600001</v>
      </c>
      <c r="M12" s="64">
        <v>168446725.815</v>
      </c>
      <c r="N12" s="64">
        <v>112864354.442</v>
      </c>
      <c r="O12" s="64">
        <v>129957490.711</v>
      </c>
      <c r="P12" s="64">
        <v>122484086.47999999</v>
      </c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v>43633227</v>
      </c>
      <c r="F13" s="64">
        <v>72449242</v>
      </c>
      <c r="G13" s="64">
        <v>83373610</v>
      </c>
      <c r="H13" s="64">
        <v>30102062</v>
      </c>
      <c r="I13" s="64">
        <v>29064058.59</v>
      </c>
      <c r="J13" s="64">
        <v>184687672</v>
      </c>
      <c r="K13" s="64">
        <v>215424774</v>
      </c>
      <c r="L13" s="64">
        <v>40108792.629999995</v>
      </c>
      <c r="M13" s="64">
        <v>43379853.934419677</v>
      </c>
      <c r="N13" s="64">
        <v>32327006.440000001</v>
      </c>
      <c r="O13" s="64">
        <v>27530073.927999999</v>
      </c>
      <c r="P13" s="64">
        <v>6220999.6510000005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v>413840253</v>
      </c>
      <c r="F14" s="64">
        <v>413908150</v>
      </c>
      <c r="G14" s="64">
        <v>442844971</v>
      </c>
      <c r="H14" s="64">
        <v>461315199.63</v>
      </c>
      <c r="I14" s="64">
        <v>481572302.39999998</v>
      </c>
      <c r="J14" s="64">
        <v>489283752.71000004</v>
      </c>
      <c r="K14" s="64">
        <v>516871761.89999998</v>
      </c>
      <c r="L14" s="64">
        <v>550031941.45000005</v>
      </c>
      <c r="M14" s="64">
        <v>595123722</v>
      </c>
      <c r="N14" s="64">
        <v>588225209.35000002</v>
      </c>
      <c r="O14" s="64">
        <v>500758127.38</v>
      </c>
      <c r="P14" s="64">
        <v>519787382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v>5415408</v>
      </c>
      <c r="F15" s="64">
        <v>1630861</v>
      </c>
      <c r="G15" s="64">
        <v>408752</v>
      </c>
      <c r="H15" s="64">
        <v>2342171</v>
      </c>
      <c r="I15" s="64">
        <v>5936215</v>
      </c>
      <c r="J15" s="64">
        <v>3954167.1</v>
      </c>
      <c r="K15" s="64">
        <v>4863839</v>
      </c>
      <c r="L15" s="64">
        <v>6595282</v>
      </c>
      <c r="M15" s="64">
        <v>7774397</v>
      </c>
      <c r="N15" s="64">
        <v>5162399</v>
      </c>
      <c r="O15" s="64">
        <v>6728880</v>
      </c>
      <c r="P15" s="64">
        <v>9639351</v>
      </c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35949170</v>
      </c>
      <c r="G16" s="64">
        <v>43902462</v>
      </c>
      <c r="H16" s="64">
        <v>37281664</v>
      </c>
      <c r="I16" s="64">
        <v>14676764</v>
      </c>
      <c r="J16" s="64">
        <v>32443482</v>
      </c>
      <c r="K16" s="64">
        <v>45472660</v>
      </c>
      <c r="L16" s="64">
        <v>14703568</v>
      </c>
      <c r="M16" s="64">
        <v>8758319.3499999996</v>
      </c>
      <c r="N16" s="64">
        <v>21293519.530000001</v>
      </c>
      <c r="O16" s="64">
        <v>43120400</v>
      </c>
      <c r="P16" s="64">
        <v>30701600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v>2016636757.1800001</v>
      </c>
      <c r="F17" s="64">
        <v>1106026223.4300001</v>
      </c>
      <c r="G17" s="64">
        <v>1068649944.98</v>
      </c>
      <c r="H17" s="64">
        <v>1639738688.46</v>
      </c>
      <c r="I17" s="64">
        <v>1994721355.8300002</v>
      </c>
      <c r="J17" s="64">
        <v>1151705456.8670001</v>
      </c>
      <c r="K17" s="64">
        <v>1208111631.9569998</v>
      </c>
      <c r="L17" s="64">
        <v>1890141908.2819996</v>
      </c>
      <c r="M17" s="64">
        <v>2231566778.1199999</v>
      </c>
      <c r="N17" s="64">
        <v>1385386596.0710001</v>
      </c>
      <c r="O17" s="64">
        <v>1525925811.2089999</v>
      </c>
      <c r="P17" s="64">
        <v>1864788966.7269998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v>692656111</v>
      </c>
      <c r="P18" s="64">
        <v>589506000</v>
      </c>
    </row>
    <row r="19" spans="2:29" ht="13.15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P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5222962965.8182001</v>
      </c>
      <c r="P19" s="70">
        <f t="shared" si="1"/>
        <v>4510136883.1196995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26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28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N31"/>
  <sheetViews>
    <sheetView topLeftCell="D1" zoomScale="80" zoomScaleNormal="80" workbookViewId="0">
      <selection activeCell="O41" sqref="O4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7" width="9.1328125" style="7" customWidth="1"/>
    <col min="38" max="40" width="9.265625" style="7" bestFit="1" customWidth="1"/>
    <col min="41" max="16384" width="8" style="7"/>
  </cols>
  <sheetData>
    <row r="1" spans="1:40" s="6" customFormat="1" ht="15.4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</row>
    <row r="2" spans="1:40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26">
        <v>1946.096</v>
      </c>
      <c r="AJ2" s="126">
        <v>1735.1379999999999</v>
      </c>
      <c r="AK2" s="126">
        <v>1423.17</v>
      </c>
      <c r="AL2" s="126">
        <v>1258.3051720000001</v>
      </c>
      <c r="AM2" s="126">
        <v>1435.8506440000001</v>
      </c>
      <c r="AN2" s="126">
        <v>1688.499761</v>
      </c>
    </row>
    <row r="3" spans="1:40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27">
        <v>4.5899999999999181</v>
      </c>
      <c r="AG3" s="127">
        <v>-7.9049999999999727</v>
      </c>
      <c r="AH3" s="127">
        <v>24.090000000000053</v>
      </c>
      <c r="AI3" s="126">
        <v>3.355</v>
      </c>
      <c r="AJ3" s="126">
        <v>70.948999999999998</v>
      </c>
      <c r="AK3" s="126">
        <v>44.250999999999998</v>
      </c>
      <c r="AL3" s="126">
        <v>40.206214000000003</v>
      </c>
      <c r="AM3" s="126">
        <v>42.455964999999999</v>
      </c>
      <c r="AN3" s="126">
        <v>44.809327000000003</v>
      </c>
    </row>
    <row r="4" spans="1:40" s="74" customFormat="1" ht="13.15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5">
        <f>SUM(AC2:AC3)</f>
        <v>1990.4</v>
      </c>
      <c r="AD4" s="125">
        <f t="shared" ref="AD4:AN4" si="1">SUM(AD2:AD3)</f>
        <v>1729.78</v>
      </c>
      <c r="AE4" s="125">
        <f t="shared" si="1"/>
        <v>1698.94</v>
      </c>
      <c r="AF4" s="125">
        <f t="shared" si="1"/>
        <v>1733.23</v>
      </c>
      <c r="AG4" s="125">
        <f t="shared" si="1"/>
        <v>1645.49</v>
      </c>
      <c r="AH4" s="125">
        <f t="shared" si="1"/>
        <v>1418.4600000000005</v>
      </c>
      <c r="AI4" s="125">
        <f t="shared" si="1"/>
        <v>1949.451</v>
      </c>
      <c r="AJ4" s="125">
        <f t="shared" si="1"/>
        <v>1806.087</v>
      </c>
      <c r="AK4" s="125">
        <f t="shared" si="1"/>
        <v>1467.421</v>
      </c>
      <c r="AL4" s="125">
        <f t="shared" si="1"/>
        <v>1298.5113860000001</v>
      </c>
      <c r="AM4" s="125">
        <f t="shared" si="1"/>
        <v>1478.3066090000002</v>
      </c>
      <c r="AN4" s="125">
        <f t="shared" si="1"/>
        <v>1733.309088</v>
      </c>
    </row>
    <row r="5" spans="1:40">
      <c r="B5" s="18"/>
      <c r="C5" s="17"/>
      <c r="D5" s="17"/>
    </row>
    <row r="6" spans="1:40" s="6" customFormat="1" ht="15.4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  <c r="AL6" s="19">
        <v>45931</v>
      </c>
      <c r="AM6" s="19">
        <v>45962</v>
      </c>
      <c r="AN6" s="19">
        <v>45992</v>
      </c>
    </row>
    <row r="7" spans="1:40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  <c r="AL7" s="64">
        <v>372488052.44889998</v>
      </c>
      <c r="AM7" s="64">
        <v>353269628.03479993</v>
      </c>
      <c r="AN7" s="64">
        <v>391857599.18410003</v>
      </c>
    </row>
    <row r="8" spans="1:40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  <c r="AL8" s="64">
        <v>1414879.9453999996</v>
      </c>
      <c r="AM8" s="64">
        <v>1559083.5818000007</v>
      </c>
      <c r="AN8" s="64">
        <v>1300856.5273000002</v>
      </c>
    </row>
    <row r="9" spans="1:40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  <c r="AL9" s="64">
        <v>1650848.7689999999</v>
      </c>
      <c r="AM9" s="64">
        <v>1709052.9480000001</v>
      </c>
      <c r="AN9" s="64">
        <v>2550084.5520000001</v>
      </c>
    </row>
    <row r="10" spans="1:40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  <c r="AL10" s="64">
        <v>45290225.868999995</v>
      </c>
      <c r="AM10" s="64">
        <v>58135530.007100001</v>
      </c>
      <c r="AN10" s="64">
        <v>73694042.522999987</v>
      </c>
    </row>
    <row r="11" spans="1:40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  <c r="AL11" s="64">
        <v>25178030.954</v>
      </c>
      <c r="AM11" s="64">
        <v>21137649.762999997</v>
      </c>
      <c r="AN11" s="64">
        <v>15772932.154300001</v>
      </c>
    </row>
    <row r="12" spans="1:40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  <c r="AL12" s="64">
        <v>44290298.490999997</v>
      </c>
      <c r="AM12" s="64">
        <v>37743916.866999999</v>
      </c>
      <c r="AN12" s="64">
        <v>40449871.121999994</v>
      </c>
    </row>
    <row r="13" spans="1:40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  <c r="AL13" s="64">
        <v>2705172.19</v>
      </c>
      <c r="AM13" s="64">
        <v>1367499.01</v>
      </c>
      <c r="AN13" s="64">
        <v>2148328.4510000004</v>
      </c>
    </row>
    <row r="14" spans="1:40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  <c r="AL14" s="64">
        <v>174088080</v>
      </c>
      <c r="AM14" s="64">
        <v>169649890</v>
      </c>
      <c r="AN14" s="64">
        <v>176049412</v>
      </c>
    </row>
    <row r="15" spans="1:40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  <c r="AL15" s="64">
        <v>2412398</v>
      </c>
      <c r="AM15" s="64">
        <v>3686947</v>
      </c>
      <c r="AN15" s="64">
        <v>3540006</v>
      </c>
    </row>
    <row r="16" spans="1:40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  <c r="AL16" s="64">
        <v>14805800</v>
      </c>
      <c r="AM16" s="64">
        <v>14468200</v>
      </c>
      <c r="AN16" s="64">
        <v>1427600</v>
      </c>
    </row>
    <row r="17" spans="2:40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  <c r="AL17" s="64">
        <v>461792348.73400003</v>
      </c>
      <c r="AM17" s="64">
        <v>615661900.27199984</v>
      </c>
      <c r="AN17" s="64">
        <v>787334717.72099996</v>
      </c>
    </row>
    <row r="18" spans="2:40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0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N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  <c r="AL19" s="66">
        <f t="shared" si="3"/>
        <v>1146116135.4013</v>
      </c>
      <c r="AM19" s="66">
        <f t="shared" si="3"/>
        <v>1278389297.4836998</v>
      </c>
      <c r="AN19" s="66">
        <f t="shared" si="3"/>
        <v>1496125450.2347</v>
      </c>
    </row>
    <row r="20" spans="2:40" ht="16.350000000000001" customHeight="1">
      <c r="B20" s="11"/>
      <c r="C20" s="9"/>
      <c r="D20" s="9"/>
    </row>
    <row r="21" spans="2:40">
      <c r="AF21" s="126"/>
      <c r="AG21" s="126"/>
      <c r="AH21" s="126"/>
    </row>
    <row r="26" spans="2:40">
      <c r="AL26" s="130"/>
      <c r="AM26" s="130"/>
      <c r="AN26" s="130"/>
    </row>
    <row r="27" spans="2:40">
      <c r="AL27" s="130"/>
      <c r="AM27" s="130"/>
      <c r="AN27" s="130"/>
    </row>
    <row r="28" spans="2:40">
      <c r="AL28" s="130"/>
      <c r="AM28" s="130"/>
      <c r="AN28" s="130"/>
    </row>
    <row r="29" spans="2:40">
      <c r="AL29" s="130"/>
      <c r="AM29" s="130"/>
      <c r="AN29" s="130"/>
    </row>
    <row r="30" spans="2:40">
      <c r="AL30" s="130"/>
      <c r="AM30" s="130"/>
      <c r="AN30" s="130"/>
    </row>
    <row r="31" spans="2:40">
      <c r="AL31" s="131"/>
      <c r="AM31" s="131"/>
      <c r="AN31" s="13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topLeftCell="A115" zoomScale="85" zoomScaleNormal="85" workbookViewId="0">
      <selection activeCell="P29" sqref="P29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7.73046875" style="24" customWidth="1"/>
    <col min="5" max="5" width="11.265625" style="27" bestFit="1" customWidth="1"/>
    <col min="6" max="6" width="10.86328125" style="27" customWidth="1"/>
    <col min="7" max="7" width="13" style="27" customWidth="1"/>
    <col min="8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  <c r="G1" s="22">
        <v>2025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v>2759753292.7666993</v>
      </c>
      <c r="F2" s="64">
        <v>3256957526.3828001</v>
      </c>
      <c r="G2" s="64">
        <v>4147996458.6986003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v>9897669.0399999991</v>
      </c>
      <c r="F3" s="64">
        <v>8899757.166489996</v>
      </c>
      <c r="G3" s="64">
        <v>12148328.843499999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v>20008757.502399996</v>
      </c>
      <c r="F4" s="64">
        <v>18179232.949999999</v>
      </c>
      <c r="G4" s="64">
        <v>20905011.204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v>606678919.37199998</v>
      </c>
      <c r="F5" s="64">
        <v>635743772.2420001</v>
      </c>
      <c r="G5" s="64">
        <v>662767163.81110001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v>2081298157.1999996</v>
      </c>
      <c r="F6" s="64">
        <v>1652931329.9400001</v>
      </c>
      <c r="G6" s="64">
        <v>1995722650.6062999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v>648622898.63000011</v>
      </c>
      <c r="F7" s="64">
        <v>665916167.74900007</v>
      </c>
      <c r="G7" s="64">
        <v>533752657.44799995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v>229558141</v>
      </c>
      <c r="F8" s="64">
        <v>469285297.22000003</v>
      </c>
      <c r="G8" s="64">
        <v>109457933.9534197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v>1731908573.6299999</v>
      </c>
      <c r="F9" s="64">
        <v>2037759758.46</v>
      </c>
      <c r="G9" s="64">
        <v>2203894440.73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v>9797192</v>
      </c>
      <c r="F10" s="64">
        <v>21349503.100000001</v>
      </c>
      <c r="G10" s="64">
        <v>29305027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v>117133296</v>
      </c>
      <c r="F11" s="64">
        <v>107296474</v>
      </c>
      <c r="G11" s="64">
        <v>103873838.88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v>5831051614.0500002</v>
      </c>
      <c r="F12" s="64">
        <v>6244680352.9359989</v>
      </c>
      <c r="G12" s="64">
        <v>7007668152.1269999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>
        <v>0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:G14" si="0">SUBTOTAL(9,F2:F12)</f>
        <v>15118999172.14629</v>
      </c>
      <c r="G14" s="66">
        <f t="shared" si="0"/>
        <v>16827491663.301918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  <c r="G16" s="22">
        <v>2025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G27" si="1">E39/E2</f>
        <v>0.68680993362924192</v>
      </c>
      <c r="F17" s="71">
        <f t="shared" si="1"/>
        <v>0.79171530171872595</v>
      </c>
      <c r="G17" s="71">
        <f t="shared" si="1"/>
        <v>0.8724142511301809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71">
        <f t="shared" ref="G18" si="2">G40/G3</f>
        <v>0.52919262940315892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71">
        <f t="shared" ref="G19" si="3">G41/G4</f>
        <v>0.65928821696684126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71">
        <f t="shared" ref="G20" si="4">G42/G5</f>
        <v>0.37180131267023553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71">
        <f t="shared" ref="G21" si="5">G43/G6</f>
        <v>0.13346523800922491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71">
        <f t="shared" ref="G22" si="6">G44/G7</f>
        <v>0.15366761900644726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71">
        <f t="shared" ref="G23" si="7">G45/G8</f>
        <v>0.11234237924914169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71">
        <f t="shared" ref="G24" si="8">G46/G9</f>
        <v>0.20088989121300674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71">
        <f t="shared" ref="G25" si="9">G47/G10</f>
        <v>0.15788150340212959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71">
        <f t="shared" ref="G26" si="10">G48/G11</f>
        <v>0.34952983397869392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71">
        <f t="shared" ref="G27" si="11">G49/G12</f>
        <v>0.34042770888601054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73">
        <f>G51/G14</f>
        <v>0.42284111146838027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  <c r="G31" s="22">
        <v>2025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55">
        <v>93623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55">
        <v>17805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55">
        <v>14876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55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12">SUBTOTAL(9,F32:F35)</f>
        <v>1981901</v>
      </c>
      <c r="G36" s="56">
        <f>SUM(G32:G35)</f>
        <v>126304</v>
      </c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  <c r="G38" s="22">
        <v>2025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v>1895425975.8381786</v>
      </c>
      <c r="F39" s="64">
        <v>2578583110.6852341</v>
      </c>
      <c r="G39" s="64">
        <v>3618771224.2061815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v>5060727.6869999999</v>
      </c>
      <c r="F40" s="64">
        <v>4948536.8981999988</v>
      </c>
      <c r="G40" s="64">
        <v>6428806.0835460015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v>10536128.282934999</v>
      </c>
      <c r="F41" s="64">
        <v>10735972.241612002</v>
      </c>
      <c r="G41" s="64">
        <v>13782427.562356999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v>185602966.23778307</v>
      </c>
      <c r="F42" s="64">
        <v>224199154.45642498</v>
      </c>
      <c r="G42" s="64">
        <v>246417701.49969599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v>215086017.66542003</v>
      </c>
      <c r="F43" s="64">
        <v>198563248.49460998</v>
      </c>
      <c r="G43" s="64">
        <v>266359598.56357101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v>81426065.951440006</v>
      </c>
      <c r="F44" s="64">
        <v>98044394.587107986</v>
      </c>
      <c r="G44" s="64">
        <v>82020500.008398011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v>20462259.355</v>
      </c>
      <c r="F45" s="64">
        <v>50295796.365400001</v>
      </c>
      <c r="G45" s="64">
        <v>12296764.728022579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v>280285537.61000001</v>
      </c>
      <c r="F46" s="64">
        <v>368830646.89767998</v>
      </c>
      <c r="G46" s="64">
        <v>442740114.44320005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v>2171097.6195999999</v>
      </c>
      <c r="F47" s="64">
        <v>3631551.4299999997</v>
      </c>
      <c r="G47" s="64">
        <v>4626721.72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v>53899638.781100012</v>
      </c>
      <c r="F48" s="64">
        <v>56131827.908919998</v>
      </c>
      <c r="G48" s="64">
        <v>36307005.658455998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v>1550652949.3442016</v>
      </c>
      <c r="F49" s="64">
        <v>1931826798.5678802</v>
      </c>
      <c r="G49" s="64">
        <v>2385604413.6620579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v>0</v>
      </c>
      <c r="F50" s="64">
        <v>0</v>
      </c>
      <c r="G50" s="64">
        <v>0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:G51" si="13">SUBTOTAL(9,F39:F49)</f>
        <v>5525791038.5330687</v>
      </c>
      <c r="G51" s="66">
        <f t="shared" si="13"/>
        <v>7115355278.1354856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  <c r="G53" s="22">
        <v>2025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v>1799359130.342</v>
      </c>
      <c r="F54" s="64">
        <v>2469191144.4134469</v>
      </c>
      <c r="G54" s="64">
        <v>3447866050.2264309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v>2459777.4800000004</v>
      </c>
      <c r="F55" s="64">
        <v>3185995.5908400007</v>
      </c>
      <c r="G55" s="64">
        <v>4105105.4847099986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v>8876541.75</v>
      </c>
      <c r="F56" s="64">
        <v>52434980.338999994</v>
      </c>
      <c r="G56" s="64">
        <v>9724499.8971309997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v>190572980.91</v>
      </c>
      <c r="F57" s="64">
        <v>194828434.21000001</v>
      </c>
      <c r="G57" s="64">
        <v>216046401.58030397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v>427878884.53999996</v>
      </c>
      <c r="F58" s="64">
        <v>118204644.15000001</v>
      </c>
      <c r="G58" s="64">
        <v>145416750.313117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v>33619186.240000002</v>
      </c>
      <c r="F59" s="64">
        <v>56153520.526000001</v>
      </c>
      <c r="G59" s="64">
        <v>54949345.06888701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v>142290560.55999994</v>
      </c>
      <c r="F60" s="64">
        <v>11293159.530000001</v>
      </c>
      <c r="G60" s="64">
        <v>9702827.7791010011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v>65000000</v>
      </c>
      <c r="F61" s="64">
        <v>148500000</v>
      </c>
      <c r="G61" s="64">
        <v>191006655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v>1592085.37</v>
      </c>
      <c r="F62" s="64">
        <v>1087145.95</v>
      </c>
      <c r="G62" s="64">
        <v>3000000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v>22352640.18</v>
      </c>
      <c r="F63" s="64">
        <v>46700000</v>
      </c>
      <c r="G63" s="64">
        <v>73898822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v>1449156724.1199999</v>
      </c>
      <c r="F64" s="64">
        <v>1782266530.7714252</v>
      </c>
      <c r="G64" s="64">
        <v>2355851224.0271077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v>0</v>
      </c>
      <c r="F65" s="64">
        <v>0</v>
      </c>
      <c r="G65" s="64">
        <v>0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  <c r="G66" s="70">
        <f>SUM(G54:G65)</f>
        <v>6511567681.3767891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  <c r="G68" s="22">
        <v>2025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38">
        <f>G54/G39</f>
        <v>0.95277259506305467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G81" si="14">E55/E40</f>
        <v>0.48605213165661498</v>
      </c>
      <c r="F70" s="38">
        <f t="shared" si="14"/>
        <v>0.64382577242151873</v>
      </c>
      <c r="G70" s="38">
        <f t="shared" si="14"/>
        <v>0.63854865605865407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14"/>
        <v>0.8424861117510335</v>
      </c>
      <c r="F71" s="38">
        <f t="shared" si="14"/>
        <v>4.8840458189492209</v>
      </c>
      <c r="G71" s="38">
        <f t="shared" si="14"/>
        <v>0.70557235676615204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14"/>
        <v>1.0267776683366667</v>
      </c>
      <c r="F72" s="38">
        <f t="shared" si="14"/>
        <v>0.86899718548165439</v>
      </c>
      <c r="G72" s="38">
        <f t="shared" si="14"/>
        <v>0.87674870865789045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14"/>
        <v>1.9893384478650433</v>
      </c>
      <c r="F73" s="38">
        <f t="shared" si="14"/>
        <v>0.59529970951904865</v>
      </c>
      <c r="G73" s="38">
        <f t="shared" si="14"/>
        <v>0.54594146821561207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14"/>
        <v>0.41287990334752817</v>
      </c>
      <c r="F74" s="38">
        <f t="shared" si="14"/>
        <v>0.57273565472537191</v>
      </c>
      <c r="G74" s="38">
        <f t="shared" si="14"/>
        <v>0.66994647756671555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14"/>
        <v>6.953804958259945</v>
      </c>
      <c r="F75" s="38">
        <f t="shared" si="14"/>
        <v>0.2245348586978316</v>
      </c>
      <c r="G75" s="38">
        <f t="shared" si="14"/>
        <v>0.78905533233384839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14"/>
        <v>0.23190636432495307</v>
      </c>
      <c r="F76" s="38">
        <f t="shared" si="14"/>
        <v>0.40262380919011992</v>
      </c>
      <c r="G76" s="38">
        <f t="shared" si="14"/>
        <v>0.43141935589056407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14"/>
        <v>0.73330897497521264</v>
      </c>
      <c r="F77" s="38">
        <f t="shared" si="14"/>
        <v>0.29936129804445588</v>
      </c>
      <c r="G77" s="38">
        <f t="shared" si="14"/>
        <v>0.64840727010484656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14"/>
        <v>0.41470853396216056</v>
      </c>
      <c r="F78" s="38">
        <f t="shared" si="14"/>
        <v>0.83197005584382244</v>
      </c>
      <c r="G78" s="38">
        <f t="shared" si="14"/>
        <v>2.0353874041603528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14"/>
        <v>0.93454613731130087</v>
      </c>
      <c r="F79" s="38">
        <f t="shared" si="14"/>
        <v>0.92258091258112351</v>
      </c>
      <c r="G79" s="38">
        <f t="shared" si="14"/>
        <v>0.98752802876094736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14"/>
        <v>0.96338871086850597</v>
      </c>
      <c r="F81" s="72">
        <f t="shared" si="14"/>
        <v>0.88382740523920122</v>
      </c>
      <c r="G81" s="72">
        <f t="shared" si="14"/>
        <v>0.91514301490832739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  <c r="G83" s="22">
        <v>2025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  <c r="G98" s="22">
        <v>2025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>
        <f>G39-G54</f>
        <v>170905173.97975063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G100" si="15">E40-E55</f>
        <v>2600950.2069999995</v>
      </c>
      <c r="F100" s="64">
        <f t="shared" si="15"/>
        <v>1762541.3073599981</v>
      </c>
      <c r="G100" s="64">
        <f t="shared" si="15"/>
        <v>2323700.5988360029</v>
      </c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G101" si="16">E41-E56</f>
        <v>1659586.5329349991</v>
      </c>
      <c r="F101" s="64">
        <f t="shared" si="16"/>
        <v>-41699008.097387992</v>
      </c>
      <c r="G101" s="64">
        <f t="shared" si="16"/>
        <v>4057927.6652259994</v>
      </c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G102" si="17">E42-E57</f>
        <v>-4970014.672216922</v>
      </c>
      <c r="F102" s="64">
        <f t="shared" si="17"/>
        <v>29370720.246424973</v>
      </c>
      <c r="G102" s="64">
        <f t="shared" si="17"/>
        <v>30371299.91939202</v>
      </c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G103" si="18">E43-E58</f>
        <v>-212792866.87457994</v>
      </c>
      <c r="F103" s="64">
        <f t="shared" si="18"/>
        <v>80358604.344609976</v>
      </c>
      <c r="G103" s="64">
        <f t="shared" si="18"/>
        <v>120942848.25045401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G104" si="19">E44-E59</f>
        <v>47806879.711440004</v>
      </c>
      <c r="F104" s="64">
        <f t="shared" si="19"/>
        <v>41890874.061107986</v>
      </c>
      <c r="G104" s="64">
        <f t="shared" si="19"/>
        <v>27071154.939511001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G105" si="20">E45-E60</f>
        <v>-121828301.20499994</v>
      </c>
      <c r="F105" s="64">
        <f t="shared" si="20"/>
        <v>39002636.8354</v>
      </c>
      <c r="G105" s="64">
        <f t="shared" si="20"/>
        <v>2593936.948921578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G106" si="21">E46-E61</f>
        <v>215285537.61000001</v>
      </c>
      <c r="F106" s="64">
        <f t="shared" si="21"/>
        <v>220330646.89767998</v>
      </c>
      <c r="G106" s="64">
        <f t="shared" si="21"/>
        <v>251733459.44320005</v>
      </c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G107" si="22">E47-E62</f>
        <v>579012.24959999975</v>
      </c>
      <c r="F107" s="64">
        <f t="shared" si="22"/>
        <v>2544405.4799999995</v>
      </c>
      <c r="G107" s="64">
        <f t="shared" si="22"/>
        <v>1626721.7199999997</v>
      </c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G108" si="23">E48-E63</f>
        <v>31546998.601100013</v>
      </c>
      <c r="F108" s="64">
        <f t="shared" si="23"/>
        <v>9431827.9089199975</v>
      </c>
      <c r="G108" s="64">
        <f t="shared" si="23"/>
        <v>-37591816.341544002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G109" si="24">E49-E64</f>
        <v>101496225.22420168</v>
      </c>
      <c r="F109" s="64">
        <f t="shared" si="24"/>
        <v>149560267.79645491</v>
      </c>
      <c r="G109" s="64">
        <f t="shared" si="24"/>
        <v>29753189.634950161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G110" si="25">E50-E65</f>
        <v>0</v>
      </c>
      <c r="F110" s="64">
        <f t="shared" si="25"/>
        <v>0</v>
      </c>
      <c r="G110" s="64">
        <f t="shared" si="25"/>
        <v>0</v>
      </c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  <c r="G111" s="70">
        <f>SUM(G99:G110)</f>
        <v>603787596.75869739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22">
        <v>2025</v>
      </c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>
        <v>823.81</v>
      </c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>
        <v>3.76</v>
      </c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>
        <v>97.48</v>
      </c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>
        <v>0.55500000000000005</v>
      </c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>
        <v>2.94</v>
      </c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>
        <v>1.099</v>
      </c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>
        <v>7.306</v>
      </c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>
        <v>5.0940000000000003</v>
      </c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>
        <v>9.5790000000000006</v>
      </c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>
        <v>126.758</v>
      </c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>
        <v>279.65199999999999</v>
      </c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>
        <v>246.113</v>
      </c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>
        <v>111.748</v>
      </c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>
        <v>404.16</v>
      </c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>
        <v>1161.673</v>
      </c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>
        <v>5.8780000000000001</v>
      </c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 ht="13.15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 ht="13.15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 ht="13.15">
      <c r="C153" s="30"/>
      <c r="D153" s="30"/>
    </row>
    <row r="154" spans="3:4">
      <c r="C154" s="32"/>
      <c r="D154" s="32"/>
    </row>
    <row r="155" spans="3:4" ht="13.15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 ht="13.15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topLeftCell="A112" zoomScale="85" zoomScaleNormal="85" workbookViewId="0">
      <selection activeCell="P113" sqref="P113:P13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5" customWidth="1"/>
    <col min="5" max="5" width="10.597656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157</v>
      </c>
      <c r="N1" s="68" t="s">
        <v>158</v>
      </c>
      <c r="O1" s="68" t="s">
        <v>161</v>
      </c>
      <c r="P1" s="68" t="s">
        <v>163</v>
      </c>
    </row>
    <row r="2" spans="1:29" ht="16.350000000000001" customHeight="1">
      <c r="B2" s="44" t="s">
        <v>111</v>
      </c>
      <c r="C2" s="9" t="s">
        <v>110</v>
      </c>
      <c r="D2" s="37"/>
      <c r="E2" s="64">
        <v>638271419.54110003</v>
      </c>
      <c r="F2" s="64">
        <v>634232731.49000001</v>
      </c>
      <c r="G2" s="64">
        <v>721437550.64120007</v>
      </c>
      <c r="H2" s="64">
        <v>765811591.09440005</v>
      </c>
      <c r="I2" s="64">
        <v>755092795.20000017</v>
      </c>
      <c r="J2" s="64">
        <v>735367286.69999993</v>
      </c>
      <c r="K2" s="64">
        <v>856574969.04850006</v>
      </c>
      <c r="L2" s="64">
        <v>909922475.43429995</v>
      </c>
      <c r="M2" s="64">
        <v>921858950.86910009</v>
      </c>
      <c r="N2" s="64">
        <v>967019509.2974</v>
      </c>
      <c r="O2" s="64">
        <v>1141502718.8643</v>
      </c>
      <c r="P2" s="64">
        <v>1117615279.6677999</v>
      </c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v>3802436.4</v>
      </c>
      <c r="F3" s="64">
        <v>1936043.8199999994</v>
      </c>
      <c r="G3" s="64">
        <v>1634180.5500000007</v>
      </c>
      <c r="H3" s="64">
        <v>2525008.2699999996</v>
      </c>
      <c r="I3" s="64">
        <v>2080536.8135999991</v>
      </c>
      <c r="J3" s="64">
        <v>1571788.7255899981</v>
      </c>
      <c r="K3" s="64">
        <v>2354326.2726999987</v>
      </c>
      <c r="L3" s="64">
        <v>2893105.3546000002</v>
      </c>
      <c r="M3" s="64">
        <v>3189674.6980999997</v>
      </c>
      <c r="N3" s="64">
        <v>1746232.6092000003</v>
      </c>
      <c r="O3" s="64">
        <v>2937601.4816999994</v>
      </c>
      <c r="P3" s="64">
        <v>4274820.0545000006</v>
      </c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v>7047594.2524000006</v>
      </c>
      <c r="F4" s="64">
        <v>3506249.43</v>
      </c>
      <c r="G4" s="64">
        <v>4313574.05</v>
      </c>
      <c r="H4" s="64">
        <v>5141339.7700000005</v>
      </c>
      <c r="I4" s="64">
        <v>5493007.1799999997</v>
      </c>
      <c r="J4" s="64">
        <v>3273391.5</v>
      </c>
      <c r="K4" s="64">
        <v>3482647.36</v>
      </c>
      <c r="L4" s="64">
        <v>5930186.9100000001</v>
      </c>
      <c r="M4" s="64">
        <v>6669871.267</v>
      </c>
      <c r="N4" s="64">
        <v>3632579.2690000003</v>
      </c>
      <c r="O4" s="64">
        <v>4692574.3990000002</v>
      </c>
      <c r="P4" s="64">
        <v>5909986.2690000003</v>
      </c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v>214522481.19</v>
      </c>
      <c r="F5" s="64">
        <v>109425279.33000001</v>
      </c>
      <c r="G5" s="64">
        <v>115335855.93200001</v>
      </c>
      <c r="H5" s="64">
        <v>167395302.91999999</v>
      </c>
      <c r="I5" s="64">
        <v>205401414.50999999</v>
      </c>
      <c r="J5" s="64">
        <v>119836924.69</v>
      </c>
      <c r="K5" s="64">
        <v>126716852.05130002</v>
      </c>
      <c r="L5" s="64">
        <v>183788580.99070001</v>
      </c>
      <c r="M5" s="64">
        <v>224168623.40809998</v>
      </c>
      <c r="N5" s="64">
        <v>128737485.45370001</v>
      </c>
      <c r="O5" s="64">
        <v>132741256.55020002</v>
      </c>
      <c r="P5" s="64">
        <v>177119798.39910001</v>
      </c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v>78808405.400000006</v>
      </c>
      <c r="F6" s="64">
        <v>888071474.43000007</v>
      </c>
      <c r="G6" s="64">
        <v>1023178192.89</v>
      </c>
      <c r="H6" s="64">
        <v>91240084.480000004</v>
      </c>
      <c r="I6" s="64">
        <v>60466805.299999997</v>
      </c>
      <c r="J6" s="64">
        <v>628370909.94000006</v>
      </c>
      <c r="K6" s="64">
        <v>884521098.17999995</v>
      </c>
      <c r="L6" s="64">
        <v>79572516.519999996</v>
      </c>
      <c r="M6" s="64">
        <v>64382778.030000001</v>
      </c>
      <c r="N6" s="64">
        <v>854839339.40999997</v>
      </c>
      <c r="O6" s="64">
        <v>1014411920.295</v>
      </c>
      <c r="P6" s="64">
        <v>62088612.871299997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v>186174641.78</v>
      </c>
      <c r="F7" s="64">
        <v>152891299.93000001</v>
      </c>
      <c r="G7" s="64">
        <v>154284831.50999999</v>
      </c>
      <c r="H7" s="64">
        <v>155272125.41</v>
      </c>
      <c r="I7" s="64">
        <v>157132675.76999998</v>
      </c>
      <c r="J7" s="64">
        <v>147333687.37</v>
      </c>
      <c r="K7" s="64">
        <v>174971691.38300002</v>
      </c>
      <c r="L7" s="64">
        <v>186478113.22600001</v>
      </c>
      <c r="M7" s="64">
        <v>168446725.815</v>
      </c>
      <c r="N7" s="64">
        <v>112864354.442</v>
      </c>
      <c r="O7" s="64">
        <v>129957490.711</v>
      </c>
      <c r="P7" s="64">
        <v>122484086.47999999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v>43633227</v>
      </c>
      <c r="F8" s="64">
        <v>72449242</v>
      </c>
      <c r="G8" s="64">
        <v>83373610</v>
      </c>
      <c r="H8" s="64">
        <v>30102062</v>
      </c>
      <c r="I8" s="64">
        <v>29064058.59</v>
      </c>
      <c r="J8" s="64">
        <v>184687672</v>
      </c>
      <c r="K8" s="64">
        <v>215424774</v>
      </c>
      <c r="L8" s="64">
        <v>40108792.629999995</v>
      </c>
      <c r="M8" s="64">
        <v>43379853.934419677</v>
      </c>
      <c r="N8" s="64">
        <v>32327006.440000001</v>
      </c>
      <c r="O8" s="64">
        <v>27530073.927999999</v>
      </c>
      <c r="P8" s="64">
        <v>6220999.6510000005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v>413840253</v>
      </c>
      <c r="F9" s="64">
        <v>413908150</v>
      </c>
      <c r="G9" s="64">
        <v>442844971</v>
      </c>
      <c r="H9" s="64">
        <v>461315199.63</v>
      </c>
      <c r="I9" s="64">
        <v>481572302.39999998</v>
      </c>
      <c r="J9" s="64">
        <v>489283752.71000004</v>
      </c>
      <c r="K9" s="64">
        <v>516871761.89999998</v>
      </c>
      <c r="L9" s="64">
        <v>550031941.45000005</v>
      </c>
      <c r="M9" s="64">
        <v>595123722</v>
      </c>
      <c r="N9" s="64">
        <v>588225209.35000002</v>
      </c>
      <c r="O9" s="64">
        <v>500758127.38</v>
      </c>
      <c r="P9" s="64">
        <v>519787382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v>5415408</v>
      </c>
      <c r="F10" s="64">
        <v>1630861</v>
      </c>
      <c r="G10" s="64">
        <v>408752</v>
      </c>
      <c r="H10" s="64">
        <v>2342171</v>
      </c>
      <c r="I10" s="64">
        <v>5936215</v>
      </c>
      <c r="J10" s="64">
        <v>3954167.1</v>
      </c>
      <c r="K10" s="64">
        <v>4863839</v>
      </c>
      <c r="L10" s="64">
        <v>6595282</v>
      </c>
      <c r="M10" s="64">
        <v>7774397</v>
      </c>
      <c r="N10" s="64">
        <v>5162399</v>
      </c>
      <c r="O10" s="64">
        <v>6728880</v>
      </c>
      <c r="P10" s="64">
        <v>9639351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v>0</v>
      </c>
      <c r="F11" s="64">
        <v>35949170</v>
      </c>
      <c r="G11" s="64">
        <v>43902462</v>
      </c>
      <c r="H11" s="64">
        <v>37281664</v>
      </c>
      <c r="I11" s="64">
        <v>14676764</v>
      </c>
      <c r="J11" s="64">
        <v>32443482</v>
      </c>
      <c r="K11" s="64">
        <v>45472660</v>
      </c>
      <c r="L11" s="64">
        <v>14703568</v>
      </c>
      <c r="M11" s="64">
        <v>8758319.3499999996</v>
      </c>
      <c r="N11" s="64">
        <v>21293519.530000001</v>
      </c>
      <c r="O11" s="64">
        <v>43120400</v>
      </c>
      <c r="P11" s="64">
        <v>30701600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v>2016636757.1800001</v>
      </c>
      <c r="F12" s="64">
        <v>1106026223.4300001</v>
      </c>
      <c r="G12" s="64">
        <v>1068649944.98</v>
      </c>
      <c r="H12" s="64">
        <v>1639738688.46</v>
      </c>
      <c r="I12" s="64">
        <v>1994721355.8300002</v>
      </c>
      <c r="J12" s="64">
        <v>1151705456.8670001</v>
      </c>
      <c r="K12" s="64">
        <v>1208111631.9569998</v>
      </c>
      <c r="L12" s="64">
        <v>1890141908.2819996</v>
      </c>
      <c r="M12" s="64">
        <v>2231566778.1199999</v>
      </c>
      <c r="N12" s="64">
        <v>1385386596.0710001</v>
      </c>
      <c r="O12" s="64">
        <v>1525925811.2089999</v>
      </c>
      <c r="P12" s="64">
        <v>1864788966.7269998</v>
      </c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>
        <v>0</v>
      </c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>
        <f>SUBTOTAL(9,O2:O12)</f>
        <v>4530306854.8182001</v>
      </c>
      <c r="P14" s="66">
        <f>SUBTOTAL(9,P2:P12)</f>
        <v>3920630883.1197</v>
      </c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157</v>
      </c>
      <c r="N16" s="68" t="s">
        <v>158</v>
      </c>
      <c r="O16" s="68" t="s">
        <v>161</v>
      </c>
      <c r="P16" s="68" t="s">
        <v>163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:P17" si="2">N39/N2</f>
        <v>0.90545200142978133</v>
      </c>
      <c r="O17" s="71">
        <f t="shared" si="2"/>
        <v>0.89741783407602083</v>
      </c>
      <c r="P17" s="71">
        <f t="shared" si="2"/>
        <v>0.89171238248319484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:P18" si="3">N40/N3</f>
        <v>0.2695374822651086</v>
      </c>
      <c r="O18" s="71">
        <f t="shared" si="3"/>
        <v>0.20895971871608973</v>
      </c>
      <c r="P18" s="71">
        <f t="shared" si="3"/>
        <v>0.65200220843026868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:P19" si="4">N41/N4</f>
        <v>0.69476367016259588</v>
      </c>
      <c r="O19" s="71">
        <f t="shared" si="4"/>
        <v>0.69855860471270492</v>
      </c>
      <c r="P19" s="71">
        <f t="shared" si="4"/>
        <v>0.67974320086901707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:P20" si="5">N42/N5</f>
        <v>0.40525522601925695</v>
      </c>
      <c r="O20" s="71">
        <f t="shared" si="5"/>
        <v>0.4017870086396258</v>
      </c>
      <c r="P20" s="71">
        <f t="shared" si="5"/>
        <v>0.35178699136287866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:P21" si="6">N43/N6</f>
        <v>0.12404407987780604</v>
      </c>
      <c r="O21" s="71">
        <f t="shared" si="6"/>
        <v>0.12179184971816123</v>
      </c>
      <c r="P21" s="71">
        <f t="shared" si="6"/>
        <v>0.29382038104168451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:P22" si="7">N44/N7</f>
        <v>0.16909487733578898</v>
      </c>
      <c r="O22" s="71">
        <f t="shared" si="7"/>
        <v>0.16382480754050852</v>
      </c>
      <c r="P22" s="71">
        <f t="shared" si="7"/>
        <v>0.13737704706133022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:P23" si="8">N45/N8</f>
        <v>0.13329341690507607</v>
      </c>
      <c r="O23" s="71">
        <f t="shared" si="8"/>
        <v>0.12274785511691126</v>
      </c>
      <c r="P23" s="71">
        <f t="shared" si="8"/>
        <v>-2.0841539084985875E-2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:P24" si="9">N46/N9</f>
        <v>0.20797681215462513</v>
      </c>
      <c r="O24" s="71">
        <f t="shared" si="9"/>
        <v>0.20803213566806034</v>
      </c>
      <c r="P24" s="71">
        <f t="shared" si="9"/>
        <v>0.20845373489270272</v>
      </c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:P25" si="10">N47/N10</f>
        <v>0.16197983728107804</v>
      </c>
      <c r="O25" s="71">
        <f t="shared" si="10"/>
        <v>0.15137176320576382</v>
      </c>
      <c r="P25" s="71">
        <f t="shared" si="10"/>
        <v>0.14827929909389129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:P26" si="11">N48/N11</f>
        <v>0.35360000771089062</v>
      </c>
      <c r="O26" s="71">
        <f t="shared" si="11"/>
        <v>0.35360000000000003</v>
      </c>
      <c r="P26" s="71">
        <f t="shared" si="11"/>
        <v>0.35360001205148917</v>
      </c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:P27" si="12">N49/N12</f>
        <v>0.3552216306448675</v>
      </c>
      <c r="O27" s="71">
        <f t="shared" si="12"/>
        <v>0.35424833273329048</v>
      </c>
      <c r="P27" s="71">
        <f t="shared" si="12"/>
        <v>0.35326906807002811</v>
      </c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:P29" si="14">N51/N14</f>
        <v>0.41036655231572183</v>
      </c>
      <c r="O29" s="73">
        <f t="shared" si="14"/>
        <v>0.4173764746590749</v>
      </c>
      <c r="P29" s="73">
        <f t="shared" si="14"/>
        <v>0.4795282638323643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157</v>
      </c>
      <c r="N31" s="68" t="s">
        <v>158</v>
      </c>
      <c r="O31" s="68" t="s">
        <v>161</v>
      </c>
      <c r="P31" s="68" t="s">
        <v>163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157</v>
      </c>
      <c r="N38" s="68" t="s">
        <v>158</v>
      </c>
      <c r="O38" s="68" t="s">
        <v>161</v>
      </c>
      <c r="P38" s="68" t="s">
        <v>163</v>
      </c>
    </row>
    <row r="39" spans="1:29" ht="16.350000000000001" customHeight="1">
      <c r="B39" s="44" t="s">
        <v>111</v>
      </c>
      <c r="C39" s="39" t="s">
        <v>119</v>
      </c>
      <c r="D39" s="37"/>
      <c r="E39" s="64">
        <v>441495160.08361602</v>
      </c>
      <c r="F39" s="64">
        <v>435474808.18295181</v>
      </c>
      <c r="G39" s="64">
        <v>493953198.41435605</v>
      </c>
      <c r="H39" s="64">
        <v>524502809.15725505</v>
      </c>
      <c r="I39" s="64">
        <v>592193517.18896008</v>
      </c>
      <c r="J39" s="64">
        <v>571281343.61108792</v>
      </c>
      <c r="K39" s="64">
        <v>675494300.7803514</v>
      </c>
      <c r="L39" s="64">
        <v>739613949.10483503</v>
      </c>
      <c r="M39" s="64">
        <v>722185192.80392098</v>
      </c>
      <c r="N39" s="64">
        <v>875589750.11497581</v>
      </c>
      <c r="O39" s="64">
        <v>1024404897.555089</v>
      </c>
      <c r="P39" s="64">
        <v>996591383.73219597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39" t="s">
        <v>119</v>
      </c>
      <c r="D40" s="39"/>
      <c r="E40" s="64">
        <v>2652196.4810000001</v>
      </c>
      <c r="F40" s="64">
        <v>573638.00399999833</v>
      </c>
      <c r="G40" s="64">
        <v>200024.08100000117</v>
      </c>
      <c r="H40" s="64">
        <v>1634869.1210000003</v>
      </c>
      <c r="I40" s="64">
        <v>1668592.4680000003</v>
      </c>
      <c r="J40" s="64">
        <v>623712.51399999997</v>
      </c>
      <c r="K40" s="64">
        <v>334141.92199999839</v>
      </c>
      <c r="L40" s="64">
        <v>2322089.9942000005</v>
      </c>
      <c r="M40" s="64">
        <v>2557098.4471209999</v>
      </c>
      <c r="N40" s="64">
        <v>470675.14093299943</v>
      </c>
      <c r="O40" s="64">
        <v>613840.37931600027</v>
      </c>
      <c r="P40" s="64">
        <v>2787192.1161760017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39" t="s">
        <v>119</v>
      </c>
      <c r="D41" s="39"/>
      <c r="E41" s="64">
        <v>3511284.1915400005</v>
      </c>
      <c r="F41" s="64">
        <v>1833755.8518400001</v>
      </c>
      <c r="G41" s="64">
        <v>2458663.1891749999</v>
      </c>
      <c r="H41" s="64">
        <v>2732425.0503799999</v>
      </c>
      <c r="I41" s="64">
        <v>3254157.657854001</v>
      </c>
      <c r="J41" s="64">
        <v>1883906.7090959996</v>
      </c>
      <c r="K41" s="64">
        <v>2059630.4542460002</v>
      </c>
      <c r="L41" s="64">
        <v>3538277.4204160003</v>
      </c>
      <c r="M41" s="64">
        <v>3963332.2490119999</v>
      </c>
      <c r="N41" s="64">
        <v>2523784.1050869999</v>
      </c>
      <c r="O41" s="64">
        <v>3278038.224676</v>
      </c>
      <c r="P41" s="64">
        <v>4017272.9835819998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39" t="s">
        <v>119</v>
      </c>
      <c r="D42" s="39"/>
      <c r="E42" s="64">
        <v>65779467.705770001</v>
      </c>
      <c r="F42" s="64">
        <v>33713629.032183051</v>
      </c>
      <c r="G42" s="64">
        <v>34938575.901714996</v>
      </c>
      <c r="H42" s="64">
        <v>51171293.598114997</v>
      </c>
      <c r="I42" s="64">
        <v>72532684.88865</v>
      </c>
      <c r="J42" s="64">
        <v>41897872.874000005</v>
      </c>
      <c r="K42" s="64">
        <v>44597187.825870998</v>
      </c>
      <c r="L42" s="64">
        <v>65171408.867904007</v>
      </c>
      <c r="M42" s="64">
        <v>78604009.353016987</v>
      </c>
      <c r="N42" s="64">
        <v>52171538.764689997</v>
      </c>
      <c r="O42" s="64">
        <v>53333712.39237</v>
      </c>
      <c r="P42" s="64">
        <v>62308440.989619002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39" t="s">
        <v>119</v>
      </c>
      <c r="D43" s="39"/>
      <c r="E43" s="64">
        <v>19181477.361500002</v>
      </c>
      <c r="F43" s="64">
        <v>81916176.171999991</v>
      </c>
      <c r="G43" s="64">
        <v>94751767.670519993</v>
      </c>
      <c r="H43" s="64">
        <v>19236596.461399999</v>
      </c>
      <c r="I43" s="64">
        <v>15021597.473999999</v>
      </c>
      <c r="J43" s="64">
        <v>67231216.815499991</v>
      </c>
      <c r="K43" s="64">
        <v>94923067.233999997</v>
      </c>
      <c r="L43" s="64">
        <v>21387366.971110001</v>
      </c>
      <c r="M43" s="64">
        <v>18531835.222031001</v>
      </c>
      <c r="N43" s="64">
        <v>106037759.30046499</v>
      </c>
      <c r="O43" s="64">
        <v>123547104.14887999</v>
      </c>
      <c r="P43" s="64">
        <v>18242899.892195001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39" t="s">
        <v>119</v>
      </c>
      <c r="D44" s="39"/>
      <c r="E44" s="64">
        <v>23995907.8028</v>
      </c>
      <c r="F44" s="64">
        <v>18439982.370299999</v>
      </c>
      <c r="G44" s="64">
        <v>18822433.90484</v>
      </c>
      <c r="H44" s="64">
        <v>20167741.873500001</v>
      </c>
      <c r="I44" s="64">
        <v>22963103.9133</v>
      </c>
      <c r="J44" s="64">
        <v>21707162.2269</v>
      </c>
      <c r="K44" s="64">
        <v>25727533.586408</v>
      </c>
      <c r="L44" s="64">
        <v>27646594.8605</v>
      </c>
      <c r="M44" s="64">
        <v>24818952.821641006</v>
      </c>
      <c r="N44" s="64">
        <v>19084784.169953</v>
      </c>
      <c r="O44" s="64">
        <v>21290260.904176999</v>
      </c>
      <c r="P44" s="64">
        <v>16826502.112627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39" t="s">
        <v>119</v>
      </c>
      <c r="D45" s="39"/>
      <c r="E45" s="64">
        <v>4023405.3530000001</v>
      </c>
      <c r="F45" s="64">
        <v>6493275.2679999992</v>
      </c>
      <c r="G45" s="64">
        <v>7214590.0520000011</v>
      </c>
      <c r="H45" s="64">
        <v>2730988.682</v>
      </c>
      <c r="I45" s="64">
        <v>3108994.0420000004</v>
      </c>
      <c r="J45" s="64">
        <v>19480300.615099996</v>
      </c>
      <c r="K45" s="64">
        <v>23239835.330499999</v>
      </c>
      <c r="L45" s="64">
        <v>4466666.377799999</v>
      </c>
      <c r="M45" s="64">
        <v>4738185.2628245791</v>
      </c>
      <c r="N45" s="64">
        <v>4308977.1466999995</v>
      </c>
      <c r="O45" s="64">
        <v>3379257.525872</v>
      </c>
      <c r="P45" s="64">
        <v>-129655.20737399999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39" t="s">
        <v>119</v>
      </c>
      <c r="D46" s="39"/>
      <c r="E46" s="64">
        <v>74536907.480000004</v>
      </c>
      <c r="F46" s="64">
        <v>64575059</v>
      </c>
      <c r="G46" s="64">
        <v>69059674.210000008</v>
      </c>
      <c r="H46" s="64">
        <v>72113896.920000002</v>
      </c>
      <c r="I46" s="64">
        <v>87269926</v>
      </c>
      <c r="J46" s="64">
        <v>88485636.604999989</v>
      </c>
      <c r="K46" s="64">
        <v>93435680.50999999</v>
      </c>
      <c r="L46" s="64">
        <v>99639403.782680005</v>
      </c>
      <c r="M46" s="64">
        <v>107877506.7536</v>
      </c>
      <c r="N46" s="64">
        <v>122337203.8696</v>
      </c>
      <c r="O46" s="64">
        <v>104173782.692</v>
      </c>
      <c r="P46" s="64">
        <v>108351621.12799999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39" t="s">
        <v>119</v>
      </c>
      <c r="D47" s="39"/>
      <c r="E47" s="64">
        <v>921023.14</v>
      </c>
      <c r="F47" s="64">
        <v>284759.55839999998</v>
      </c>
      <c r="G47" s="64">
        <v>285094.30119999999</v>
      </c>
      <c r="H47" s="64">
        <v>680220.62</v>
      </c>
      <c r="I47" s="64">
        <v>1009750.47</v>
      </c>
      <c r="J47" s="64">
        <v>672604.01</v>
      </c>
      <c r="K47" s="64">
        <v>827339.28</v>
      </c>
      <c r="L47" s="64">
        <v>1121857.67</v>
      </c>
      <c r="M47" s="64">
        <v>1342638.53</v>
      </c>
      <c r="N47" s="64">
        <v>836204.55</v>
      </c>
      <c r="O47" s="64">
        <v>1018562.4299999999</v>
      </c>
      <c r="P47" s="64">
        <v>1429316.21</v>
      </c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39" t="s">
        <v>119</v>
      </c>
      <c r="D48" s="39"/>
      <c r="E48" s="64">
        <v>0</v>
      </c>
      <c r="F48" s="64">
        <v>16554940.821100002</v>
      </c>
      <c r="G48" s="64">
        <v>20195132.52</v>
      </c>
      <c r="H48" s="64">
        <v>17149565.439999998</v>
      </c>
      <c r="I48" s="64">
        <v>7763421.0854399996</v>
      </c>
      <c r="J48" s="64">
        <v>17162040.810000002</v>
      </c>
      <c r="K48" s="64">
        <v>24053793.88752</v>
      </c>
      <c r="L48" s="64">
        <v>7152572.1259599999</v>
      </c>
      <c r="M48" s="64">
        <v>2674157.4184560003</v>
      </c>
      <c r="N48" s="64">
        <v>7529388.6699999999</v>
      </c>
      <c r="O48" s="64">
        <v>15247373.440000001</v>
      </c>
      <c r="P48" s="64">
        <v>10856086.129999999</v>
      </c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39" t="s">
        <v>119</v>
      </c>
      <c r="D49" s="39"/>
      <c r="E49" s="64">
        <v>536590612.41149998</v>
      </c>
      <c r="F49" s="64">
        <v>293993549.75070167</v>
      </c>
      <c r="G49" s="64">
        <v>283804380.81040001</v>
      </c>
      <c r="H49" s="64">
        <v>436264406.37160003</v>
      </c>
      <c r="I49" s="64">
        <v>617882104.07700014</v>
      </c>
      <c r="J49" s="64">
        <v>354819633.75743401</v>
      </c>
      <c r="K49" s="64">
        <v>372532913.569803</v>
      </c>
      <c r="L49" s="64">
        <v>586592147.163643</v>
      </c>
      <c r="M49" s="64">
        <v>694156193.01377511</v>
      </c>
      <c r="N49" s="64">
        <v>492119285.72988302</v>
      </c>
      <c r="O49" s="64">
        <v>540556674.49548197</v>
      </c>
      <c r="P49" s="64">
        <v>658772260.42291784</v>
      </c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39" t="s">
        <v>119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>
        <v>0</v>
      </c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39" t="s">
        <v>119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>
        <f>SUBTOTAL(9,O39:O49)</f>
        <v>1890843504.1878619</v>
      </c>
      <c r="P51" s="66">
        <f>SUM(P39:P50)</f>
        <v>1880053320.509939</v>
      </c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157</v>
      </c>
      <c r="N53" s="68" t="s">
        <v>158</v>
      </c>
      <c r="O53" s="68" t="s">
        <v>161</v>
      </c>
      <c r="P53" s="68" t="s">
        <v>163</v>
      </c>
    </row>
    <row r="54" spans="1:29" ht="16.350000000000001" customHeight="1">
      <c r="B54" s="44" t="s">
        <v>111</v>
      </c>
      <c r="C54" s="9" t="s">
        <v>110</v>
      </c>
      <c r="D54" s="37"/>
      <c r="E54" s="64">
        <v>361185955.49000001</v>
      </c>
      <c r="F54" s="64">
        <v>420852295.09000003</v>
      </c>
      <c r="G54" s="64">
        <v>474349279.56999993</v>
      </c>
      <c r="H54" s="64">
        <v>542971600.19199991</v>
      </c>
      <c r="I54" s="64">
        <v>579847016.65999997</v>
      </c>
      <c r="J54" s="64">
        <v>535200863.05999994</v>
      </c>
      <c r="K54" s="64">
        <v>683353776.67144704</v>
      </c>
      <c r="L54" s="64">
        <v>670789488.02200007</v>
      </c>
      <c r="M54" s="64">
        <v>663172462.35477293</v>
      </c>
      <c r="N54" s="64">
        <v>810260049.69726014</v>
      </c>
      <c r="O54" s="64">
        <v>994532286.12210894</v>
      </c>
      <c r="P54" s="64">
        <v>979901252.05228817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v>877191.23</v>
      </c>
      <c r="F55" s="64">
        <v>471951.79999999981</v>
      </c>
      <c r="G55" s="64">
        <v>119830.28000000041</v>
      </c>
      <c r="H55" s="64">
        <v>990804.17</v>
      </c>
      <c r="I55" s="64">
        <v>623569.95999999903</v>
      </c>
      <c r="J55" s="64">
        <v>460714.43000000139</v>
      </c>
      <c r="K55" s="64">
        <v>228844.70000000007</v>
      </c>
      <c r="L55" s="64">
        <v>1872866.5008399999</v>
      </c>
      <c r="M55" s="64">
        <v>725409.56</v>
      </c>
      <c r="N55" s="64">
        <v>433347.38999999734</v>
      </c>
      <c r="O55" s="64">
        <v>277700.44471000135</v>
      </c>
      <c r="P55" s="64">
        <v>2668648.09</v>
      </c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v>2539624.19</v>
      </c>
      <c r="F56" s="64">
        <v>1534126.1</v>
      </c>
      <c r="G56" s="64">
        <v>2611790.9</v>
      </c>
      <c r="H56" s="64">
        <v>2191000.56</v>
      </c>
      <c r="I56" s="64">
        <v>2641932.35</v>
      </c>
      <c r="J56" s="64">
        <v>1767218.5699999998</v>
      </c>
      <c r="K56" s="64">
        <v>1326371.5</v>
      </c>
      <c r="L56" s="64">
        <v>46699457.918999992</v>
      </c>
      <c r="M56" s="64">
        <v>3239745.1293580001</v>
      </c>
      <c r="N56" s="64">
        <v>2089668.1790399998</v>
      </c>
      <c r="O56" s="64">
        <v>2358832.1943549998</v>
      </c>
      <c r="P56" s="64">
        <v>2036254.3943779997</v>
      </c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v>71917394.189999998</v>
      </c>
      <c r="F57" s="64">
        <v>32906457.73</v>
      </c>
      <c r="G57" s="64">
        <v>31798124.310000002</v>
      </c>
      <c r="H57" s="64">
        <v>53951004.68</v>
      </c>
      <c r="I57" s="64">
        <v>34165056.32</v>
      </c>
      <c r="J57" s="64">
        <v>41682342.109999999</v>
      </c>
      <c r="K57" s="64">
        <v>37415661.25</v>
      </c>
      <c r="L57" s="64">
        <v>81565374.529999986</v>
      </c>
      <c r="M57" s="64">
        <v>38745056.087150998</v>
      </c>
      <c r="N57" s="64">
        <v>49349814.225288004</v>
      </c>
      <c r="O57" s="64">
        <v>39263105.983925</v>
      </c>
      <c r="P57" s="64">
        <v>88688425.283940017</v>
      </c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v>334237491.47999996</v>
      </c>
      <c r="F58" s="64">
        <v>35240095.43</v>
      </c>
      <c r="G58" s="64">
        <v>38482907.900000006</v>
      </c>
      <c r="H58" s="64">
        <v>19918389.73</v>
      </c>
      <c r="I58" s="64">
        <v>10304627.9</v>
      </c>
      <c r="J58" s="64">
        <v>32817760.850000001</v>
      </c>
      <c r="K58" s="64">
        <v>60290928.730000004</v>
      </c>
      <c r="L58" s="64">
        <v>14791326.67</v>
      </c>
      <c r="M58" s="64">
        <v>12164412.41</v>
      </c>
      <c r="N58" s="64">
        <v>37424878.950002</v>
      </c>
      <c r="O58" s="64">
        <v>49636094.629712</v>
      </c>
      <c r="P58" s="64">
        <v>46191364.323402993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v>6846162.3299999991</v>
      </c>
      <c r="F59" s="64">
        <v>10256585.16</v>
      </c>
      <c r="G59" s="64">
        <v>7152755.6899999995</v>
      </c>
      <c r="H59" s="64">
        <v>9363683.0600000005</v>
      </c>
      <c r="I59" s="64">
        <v>7493085.9000000004</v>
      </c>
      <c r="J59" s="64">
        <v>11822474.690000001</v>
      </c>
      <c r="K59" s="64">
        <v>22858790.329999998</v>
      </c>
      <c r="L59" s="64">
        <v>13979169.605999999</v>
      </c>
      <c r="M59" s="64">
        <v>11545162.36507</v>
      </c>
      <c r="N59" s="64">
        <v>11185668.467793001</v>
      </c>
      <c r="O59" s="64">
        <v>15248310.551477</v>
      </c>
      <c r="P59" s="64">
        <v>16970203.684547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v>139418614.25999999</v>
      </c>
      <c r="F60" s="64">
        <v>1697295.98</v>
      </c>
      <c r="G60" s="64">
        <v>531198.97</v>
      </c>
      <c r="H60" s="64">
        <v>643451.35</v>
      </c>
      <c r="I60" s="64">
        <v>586344.47</v>
      </c>
      <c r="J60" s="64">
        <v>3807824.7399999998</v>
      </c>
      <c r="K60" s="64">
        <v>3419098.1200000006</v>
      </c>
      <c r="L60" s="64">
        <v>3479892.1999999997</v>
      </c>
      <c r="M60" s="64">
        <v>2423050.29</v>
      </c>
      <c r="N60" s="64">
        <v>2374665.27</v>
      </c>
      <c r="O60" s="64">
        <v>1825765.0070720001</v>
      </c>
      <c r="P60" s="64">
        <v>3079347.2120289998</v>
      </c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v>0</v>
      </c>
      <c r="F61" s="64">
        <v>0</v>
      </c>
      <c r="G61" s="64">
        <v>47000000</v>
      </c>
      <c r="H61" s="64">
        <v>18000000</v>
      </c>
      <c r="I61" s="64">
        <v>22000000</v>
      </c>
      <c r="J61" s="64">
        <v>13000000</v>
      </c>
      <c r="K61" s="64">
        <v>99000000</v>
      </c>
      <c r="L61" s="64">
        <v>14500000</v>
      </c>
      <c r="M61" s="64">
        <v>57313000</v>
      </c>
      <c r="N61" s="64">
        <v>27000000</v>
      </c>
      <c r="O61" s="64">
        <v>12693655</v>
      </c>
      <c r="P61" s="64">
        <v>94000000</v>
      </c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v>0</v>
      </c>
      <c r="F62" s="64">
        <v>500000</v>
      </c>
      <c r="G62" s="64">
        <v>400000</v>
      </c>
      <c r="H62" s="64">
        <v>692085.37</v>
      </c>
      <c r="I62" s="64">
        <v>588462.44999999995</v>
      </c>
      <c r="J62" s="64">
        <v>199459.6</v>
      </c>
      <c r="K62" s="64">
        <v>230000</v>
      </c>
      <c r="L62" s="64">
        <v>69223.899999999994</v>
      </c>
      <c r="M62" s="64">
        <v>600000</v>
      </c>
      <c r="N62" s="64">
        <v>900000</v>
      </c>
      <c r="O62" s="64">
        <v>300000</v>
      </c>
      <c r="P62" s="64">
        <v>1200000</v>
      </c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v>0</v>
      </c>
      <c r="F63" s="64">
        <v>9316293.1199999992</v>
      </c>
      <c r="G63" s="64">
        <v>13036347.059999999</v>
      </c>
      <c r="H63" s="64">
        <v>0</v>
      </c>
      <c r="I63" s="64">
        <v>17100000</v>
      </c>
      <c r="J63" s="64">
        <v>13900000</v>
      </c>
      <c r="K63" s="64">
        <v>4500000</v>
      </c>
      <c r="L63" s="64">
        <v>11200000</v>
      </c>
      <c r="M63" s="64">
        <v>8152300</v>
      </c>
      <c r="N63" s="64">
        <v>39636241</v>
      </c>
      <c r="O63" s="64">
        <v>15321581</v>
      </c>
      <c r="P63" s="64">
        <v>10788700</v>
      </c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v>515626800.41000003</v>
      </c>
      <c r="F64" s="64">
        <v>309716193.69</v>
      </c>
      <c r="G64" s="64">
        <v>275767728.15000004</v>
      </c>
      <c r="H64" s="64">
        <v>348046001.87</v>
      </c>
      <c r="I64" s="64">
        <v>540761645.9920001</v>
      </c>
      <c r="J64" s="64">
        <v>396032391.90742499</v>
      </c>
      <c r="K64" s="64">
        <v>399164590.72599995</v>
      </c>
      <c r="L64" s="64">
        <v>446307902.14599997</v>
      </c>
      <c r="M64" s="64">
        <v>681417661.52301097</v>
      </c>
      <c r="N64" s="64">
        <v>542397412.23760307</v>
      </c>
      <c r="O64" s="64">
        <v>580740549.13979387</v>
      </c>
      <c r="P64" s="64">
        <v>551295601.12670004</v>
      </c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>
        <v>0</v>
      </c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  <c r="O66" s="70">
        <f>SUM(O54:O65)</f>
        <v>1712197880.0731537</v>
      </c>
      <c r="P66" s="70">
        <f>SUM(P54:P65)</f>
        <v>1796819796.167285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157</v>
      </c>
      <c r="N68" s="68" t="s">
        <v>158</v>
      </c>
      <c r="O68" s="68" t="s">
        <v>161</v>
      </c>
      <c r="P68" s="68" t="s">
        <v>163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:P69" si="19">N54/N39</f>
        <v>0.92538777388710058</v>
      </c>
      <c r="O69" s="38">
        <f t="shared" si="19"/>
        <v>0.97083905836034567</v>
      </c>
      <c r="P69" s="38">
        <f t="shared" si="19"/>
        <v>0.98325278348544021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:P70" si="22">N55/N40</f>
        <v>0.92069317521420635</v>
      </c>
      <c r="O70" s="38">
        <f t="shared" si="22"/>
        <v>0.45239846394504346</v>
      </c>
      <c r="P70" s="38">
        <f t="shared" si="22"/>
        <v>0.95746829739937589</v>
      </c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:P71" si="24">N56/N41</f>
        <v>0.82799007047711193</v>
      </c>
      <c r="O71" s="38">
        <f t="shared" si="24"/>
        <v>0.71958654313378112</v>
      </c>
      <c r="P71" s="38">
        <f t="shared" si="24"/>
        <v>0.50687478861901347</v>
      </c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:P72" si="26">N57/N42</f>
        <v>0.94591448505805331</v>
      </c>
      <c r="O72" s="38">
        <f t="shared" si="26"/>
        <v>0.7361780049187433</v>
      </c>
      <c r="P72" s="38">
        <f t="shared" si="26"/>
        <v>1.423377376730002</v>
      </c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:P73" si="28">N58/N43</f>
        <v>0.35293917182799134</v>
      </c>
      <c r="O73" s="38">
        <f t="shared" si="28"/>
        <v>0.40175846266617632</v>
      </c>
      <c r="P73" s="38">
        <f t="shared" si="28"/>
        <v>2.532018735857088</v>
      </c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:P74" si="30">N59/N44</f>
        <v>0.58610400663601259</v>
      </c>
      <c r="O74" s="38">
        <f t="shared" si="30"/>
        <v>0.7162106007111162</v>
      </c>
      <c r="P74" s="38">
        <f t="shared" si="30"/>
        <v>1.0085401927838682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:P75" si="32">N60/N45</f>
        <v>0.55109720686697561</v>
      </c>
      <c r="O75" s="38">
        <f t="shared" si="32"/>
        <v>0.54028584477321562</v>
      </c>
      <c r="P75" s="38">
        <f t="shared" si="32"/>
        <v>-23.750277944073591</v>
      </c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:P76" si="34">N61/N46</f>
        <v>0.22070146403525351</v>
      </c>
      <c r="O76" s="38">
        <f t="shared" si="34"/>
        <v>0.12185076390602072</v>
      </c>
      <c r="P76" s="38">
        <f t="shared" si="34"/>
        <v>0.8675458569185055</v>
      </c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:P77" si="36">N62/N47</f>
        <v>1.0762916800679929</v>
      </c>
      <c r="O77" s="38">
        <f t="shared" si="36"/>
        <v>0.29453275632795528</v>
      </c>
      <c r="P77" s="38">
        <f t="shared" si="36"/>
        <v>0.83956229671529436</v>
      </c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:P78" si="38">N63/N48</f>
        <v>5.2642044045257128</v>
      </c>
      <c r="O78" s="38">
        <f t="shared" si="38"/>
        <v>1.0048669077524737</v>
      </c>
      <c r="P78" s="38">
        <f t="shared" si="38"/>
        <v>0.9937927786134837</v>
      </c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:P79" si="40">N64/N49</f>
        <v>1.102166543693061</v>
      </c>
      <c r="O79" s="38">
        <f t="shared" si="40"/>
        <v>1.0743379492664977</v>
      </c>
      <c r="P79" s="38">
        <f t="shared" si="40"/>
        <v>0.83685308906719891</v>
      </c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:P81" si="42">N66/N51</f>
        <v>0.90495738719644248</v>
      </c>
      <c r="O81" s="72">
        <f t="shared" si="42"/>
        <v>0.90552067174303863</v>
      </c>
      <c r="P81" s="72">
        <f t="shared" si="42"/>
        <v>0.95572810439223177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157</v>
      </c>
      <c r="N83" s="68" t="s">
        <v>158</v>
      </c>
      <c r="O83" s="68" t="s">
        <v>161</v>
      </c>
      <c r="P83" s="68" t="s">
        <v>163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157</v>
      </c>
      <c r="N98" s="68" t="s">
        <v>158</v>
      </c>
      <c r="O98" s="1" t="s">
        <v>161</v>
      </c>
      <c r="P98" s="68" t="s">
        <v>163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:P99" si="45">N39-N54</f>
        <v>65329700.417715669</v>
      </c>
      <c r="O99" s="64">
        <f t="shared" si="45"/>
        <v>29872611.432980061</v>
      </c>
      <c r="P99" s="64">
        <f t="shared" si="45"/>
        <v>16690131.679907799</v>
      </c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:P100" si="47">N40-N55</f>
        <v>37327.750933002098</v>
      </c>
      <c r="O100" s="64">
        <f t="shared" si="47"/>
        <v>336139.93460599892</v>
      </c>
      <c r="P100" s="64">
        <f t="shared" si="47"/>
        <v>118544.02617600188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:P101" si="48">N41-N56</f>
        <v>434115.9260470001</v>
      </c>
      <c r="O101" s="64">
        <f t="shared" si="48"/>
        <v>919206.03032100014</v>
      </c>
      <c r="P101" s="64">
        <f t="shared" si="48"/>
        <v>1981018.5892040001</v>
      </c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:P102" si="49">N42-N57</f>
        <v>2821724.5394019932</v>
      </c>
      <c r="O102" s="64">
        <f t="shared" si="49"/>
        <v>14070606.408445001</v>
      </c>
      <c r="P102" s="64">
        <f t="shared" si="49"/>
        <v>-26379984.294321015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:P103" si="50">N43-N58</f>
        <v>68612880.350462988</v>
      </c>
      <c r="O103" s="64">
        <f t="shared" si="50"/>
        <v>73911009.519167989</v>
      </c>
      <c r="P103" s="64">
        <f t="shared" si="50"/>
        <v>-27948464.431207992</v>
      </c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:P104" si="51">N44-N59</f>
        <v>7899115.7021599989</v>
      </c>
      <c r="O104" s="64">
        <f t="shared" si="51"/>
        <v>6041950.3526999988</v>
      </c>
      <c r="P104" s="64">
        <f t="shared" si="51"/>
        <v>-143701.57192000002</v>
      </c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:P105" si="52">N45-N60</f>
        <v>1934311.8766999994</v>
      </c>
      <c r="O105" s="64">
        <f t="shared" si="52"/>
        <v>1553492.5188</v>
      </c>
      <c r="P105" s="64">
        <f t="shared" si="52"/>
        <v>-3209002.4194029998</v>
      </c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:P106" si="53">N46-N61</f>
        <v>95337203.869599998</v>
      </c>
      <c r="O106" s="64">
        <f t="shared" si="53"/>
        <v>91480127.692000002</v>
      </c>
      <c r="P106" s="64">
        <f t="shared" si="53"/>
        <v>14351621.127999991</v>
      </c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:P107" si="54">N47-N62</f>
        <v>-63795.449999999953</v>
      </c>
      <c r="O107" s="64">
        <f t="shared" si="54"/>
        <v>718562.42999999993</v>
      </c>
      <c r="P107" s="64">
        <f t="shared" si="54"/>
        <v>229316.20999999996</v>
      </c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:P108" si="55">N48-N63</f>
        <v>-32106852.329999998</v>
      </c>
      <c r="O108" s="64">
        <f t="shared" si="55"/>
        <v>-74207.559999998659</v>
      </c>
      <c r="P108" s="64">
        <f t="shared" si="55"/>
        <v>67386.129999998957</v>
      </c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>
        <f>O49-O64</f>
        <v>-40183874.644311905</v>
      </c>
      <c r="P109" s="64">
        <f t="shared" ref="P109" si="57">P49-P64</f>
        <v>107476659.2962178</v>
      </c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:P110" si="58">N50-N65</f>
        <v>0</v>
      </c>
      <c r="O110" s="64">
        <f t="shared" si="58"/>
        <v>0</v>
      </c>
      <c r="P110" s="64">
        <f t="shared" si="58"/>
        <v>0</v>
      </c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9">SUM(G99:G110)</f>
        <v>134433572.22520608</v>
      </c>
      <c r="H111" s="70">
        <f t="shared" si="59"/>
        <v>151616792.31325018</v>
      </c>
      <c r="I111" s="70">
        <f t="shared" si="59"/>
        <v>208556107.26320416</v>
      </c>
      <c r="J111" s="70">
        <f t="shared" si="59"/>
        <v>134554380.59069297</v>
      </c>
      <c r="K111" s="70">
        <f t="shared" si="59"/>
        <v>45437362.353252396</v>
      </c>
      <c r="L111" s="70">
        <f t="shared" si="59"/>
        <v>253397632.84520802</v>
      </c>
      <c r="M111" s="70">
        <f t="shared" si="59"/>
        <v>181950842.15603575</v>
      </c>
      <c r="N111" s="70">
        <f t="shared" ref="N111" si="60">SUM(N99:N110)</f>
        <v>159957606.14530063</v>
      </c>
      <c r="O111" s="70">
        <f>SUM(O99:O110)</f>
        <v>178645624.11470816</v>
      </c>
      <c r="P111" s="70">
        <f>SUM(P99:P110)</f>
        <v>83233524.342653573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157</v>
      </c>
      <c r="N112" s="68" t="s">
        <v>158</v>
      </c>
      <c r="O112" s="1" t="s">
        <v>161</v>
      </c>
      <c r="P112" s="68" t="s">
        <v>163</v>
      </c>
    </row>
    <row r="113" spans="2:16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29">
        <v>717.97799999999995</v>
      </c>
      <c r="O113" s="90">
        <v>775.3</v>
      </c>
      <c r="P113" s="90">
        <v>823.81</v>
      </c>
    </row>
    <row r="114" spans="2:16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29">
        <v>44.423000000000002</v>
      </c>
      <c r="O114" s="90">
        <v>45</v>
      </c>
      <c r="P114" s="90"/>
    </row>
    <row r="115" spans="2:16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29">
        <v>3.7669999999999999</v>
      </c>
      <c r="O115" s="90">
        <v>5.0999999999999996</v>
      </c>
      <c r="P115" s="90">
        <v>3.76</v>
      </c>
    </row>
    <row r="116" spans="2:16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29">
        <v>53.459000000000003</v>
      </c>
      <c r="O116" s="90">
        <v>59.52</v>
      </c>
      <c r="P116" s="90">
        <v>97.48</v>
      </c>
    </row>
    <row r="117" spans="2:16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29">
        <v>6.9029999999999996</v>
      </c>
      <c r="O117" s="90">
        <v>6.95</v>
      </c>
      <c r="P117" s="90">
        <v>0.55500000000000005</v>
      </c>
    </row>
    <row r="118" spans="2:16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29">
        <v>2.3610000000000002</v>
      </c>
      <c r="O118" s="90">
        <v>2.36</v>
      </c>
      <c r="P118" s="90"/>
    </row>
    <row r="119" spans="2:16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29">
        <v>3.629</v>
      </c>
      <c r="O119" s="90">
        <v>3.12</v>
      </c>
      <c r="P119" s="90">
        <v>2.94</v>
      </c>
    </row>
    <row r="120" spans="2:16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29">
        <v>1.1259999999999999</v>
      </c>
      <c r="O120" s="90">
        <v>1.1399999999999999</v>
      </c>
      <c r="P120" s="90">
        <v>1.099</v>
      </c>
    </row>
    <row r="121" spans="2:16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29">
        <v>2.7730000000000001</v>
      </c>
      <c r="O121" s="90">
        <v>2.77</v>
      </c>
      <c r="P121" s="90"/>
    </row>
    <row r="122" spans="2:16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29">
        <v>7.4240000000000004</v>
      </c>
      <c r="O122" s="90">
        <v>7.53</v>
      </c>
      <c r="P122" s="90">
        <v>7.306</v>
      </c>
    </row>
    <row r="123" spans="2:16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29">
        <v>5.4669999999999996</v>
      </c>
      <c r="O123" s="90">
        <v>4.63</v>
      </c>
      <c r="P123" s="90">
        <v>5.0940000000000003</v>
      </c>
    </row>
    <row r="124" spans="2:16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29">
        <v>10.911</v>
      </c>
      <c r="O124" s="90">
        <v>13.4</v>
      </c>
      <c r="P124" s="90">
        <v>9.5790000000000006</v>
      </c>
    </row>
    <row r="125" spans="2:16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29">
        <v>122.258</v>
      </c>
      <c r="O125" s="90">
        <v>125.78</v>
      </c>
      <c r="P125" s="90">
        <v>126.758</v>
      </c>
    </row>
    <row r="126" spans="2:16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29">
        <v>238.84700000000001</v>
      </c>
      <c r="O126" s="90">
        <v>289.14</v>
      </c>
      <c r="P126" s="90">
        <v>279.65199999999999</v>
      </c>
    </row>
    <row r="127" spans="2:16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29">
        <v>246.62299999999999</v>
      </c>
      <c r="O127" s="90">
        <v>254.44</v>
      </c>
      <c r="P127" s="90">
        <v>246.113</v>
      </c>
    </row>
    <row r="128" spans="2:16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29">
        <v>111.182</v>
      </c>
      <c r="O128" s="90">
        <v>106.83</v>
      </c>
      <c r="P128" s="90">
        <v>111.748</v>
      </c>
    </row>
    <row r="129" spans="2:16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29">
        <v>432.82400000000001</v>
      </c>
      <c r="O129" s="90">
        <v>450.87</v>
      </c>
      <c r="P129" s="90">
        <v>404.16</v>
      </c>
    </row>
    <row r="130" spans="2:16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29">
        <v>1096.1110000000001</v>
      </c>
      <c r="O130" s="90">
        <v>1093.9000000000001</v>
      </c>
      <c r="P130" s="90">
        <v>1161.673</v>
      </c>
    </row>
    <row r="131" spans="2:16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29">
        <v>4.931</v>
      </c>
      <c r="O131" s="90">
        <v>5.32</v>
      </c>
      <c r="P131" s="90">
        <v>5.8780000000000001</v>
      </c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N168"/>
  <sheetViews>
    <sheetView zoomScale="85" zoomScaleNormal="85" workbookViewId="0">
      <pane xSplit="3" ySplit="1" topLeftCell="R107" activePane="bottomRight" state="frozen"/>
      <selection pane="topRight" activeCell="D1" sqref="D1"/>
      <selection pane="bottomLeft" activeCell="A2" sqref="A2"/>
      <selection pane="bottomRight" activeCell="AL42" sqref="AL42"/>
    </sheetView>
  </sheetViews>
  <sheetFormatPr defaultColWidth="8" defaultRowHeight="12.75"/>
  <cols>
    <col min="1" max="1" width="8" style="7"/>
    <col min="2" max="2" width="39.73046875" style="15" customWidth="1"/>
    <col min="3" max="3" width="9" style="15" bestFit="1" customWidth="1"/>
    <col min="4" max="4" width="7.73046875" style="15" customWidth="1"/>
    <col min="5" max="5" width="9.86328125" style="7" bestFit="1" customWidth="1"/>
    <col min="6" max="28" width="8" style="7"/>
    <col min="29" max="29" width="8.1328125" style="7" customWidth="1"/>
    <col min="30" max="16384" width="8" style="7"/>
  </cols>
  <sheetData>
    <row r="1" spans="1:40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</row>
    <row r="2" spans="1:40" ht="16.350000000000001" customHeight="1">
      <c r="B2" s="44" t="s">
        <v>111</v>
      </c>
      <c r="C2" s="9" t="s">
        <v>110</v>
      </c>
      <c r="D2" s="37"/>
      <c r="E2" s="64">
        <v>227744558.10109997</v>
      </c>
      <c r="F2" s="64">
        <v>206887616.76999998</v>
      </c>
      <c r="G2" s="64">
        <v>203639244.67000002</v>
      </c>
      <c r="H2" s="64">
        <v>200644111.35999995</v>
      </c>
      <c r="I2" s="64">
        <v>215482320.75</v>
      </c>
      <c r="J2" s="64">
        <v>218106299.38</v>
      </c>
      <c r="K2" s="64">
        <v>243328106.37</v>
      </c>
      <c r="L2" s="64">
        <v>248277212.83000004</v>
      </c>
      <c r="M2" s="64">
        <v>229832231.44120002</v>
      </c>
      <c r="N2" s="64">
        <v>233389196.87440002</v>
      </c>
      <c r="O2" s="64">
        <v>248220331.84999996</v>
      </c>
      <c r="P2" s="64">
        <v>284202062.37000006</v>
      </c>
      <c r="Q2" s="64">
        <v>277521043.20000005</v>
      </c>
      <c r="R2" s="64">
        <v>253405215.95000005</v>
      </c>
      <c r="S2" s="64">
        <v>224166536.05000004</v>
      </c>
      <c r="T2" s="64">
        <v>227282925.07999995</v>
      </c>
      <c r="U2" s="64">
        <v>252796856.75</v>
      </c>
      <c r="V2" s="64">
        <v>255287504.87</v>
      </c>
      <c r="W2" s="64">
        <v>284438789.01799995</v>
      </c>
      <c r="X2" s="64">
        <v>298744712.57080007</v>
      </c>
      <c r="Y2" s="64">
        <v>273391467.45970005</v>
      </c>
      <c r="Z2" s="64">
        <v>284017877.44199997</v>
      </c>
      <c r="AA2" s="64">
        <v>302301279.12159997</v>
      </c>
      <c r="AB2" s="64"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v>282985298.5097</v>
      </c>
      <c r="AG2" s="64">
        <v>336633625.31809986</v>
      </c>
      <c r="AH2" s="64">
        <v>347400585.4696002</v>
      </c>
      <c r="AI2" s="64">
        <v>387962289.96449995</v>
      </c>
      <c r="AJ2" s="64">
        <v>387761035.398</v>
      </c>
      <c r="AK2" s="64">
        <v>365779393.50180006</v>
      </c>
      <c r="AL2" s="64">
        <v>372488052.44889998</v>
      </c>
      <c r="AM2" s="64">
        <v>353269628.03479993</v>
      </c>
      <c r="AN2" s="64">
        <v>391857599.18410003</v>
      </c>
    </row>
    <row r="3" spans="1:40" ht="16.350000000000001" customHeight="1">
      <c r="B3" s="40" t="s">
        <v>112</v>
      </c>
      <c r="C3" s="9" t="s">
        <v>110</v>
      </c>
      <c r="D3" s="39"/>
      <c r="E3" s="64">
        <v>1017074</v>
      </c>
      <c r="F3" s="64">
        <v>246204</v>
      </c>
      <c r="G3" s="64">
        <v>2539158.4</v>
      </c>
      <c r="H3" s="64">
        <v>3903742.8</v>
      </c>
      <c r="I3" s="64">
        <v>605849.73000000045</v>
      </c>
      <c r="J3" s="64">
        <v>-2573548.7100000009</v>
      </c>
      <c r="K3" s="64">
        <v>614114.73000000045</v>
      </c>
      <c r="L3" s="64">
        <v>434483.26999999955</v>
      </c>
      <c r="M3" s="64">
        <v>585582.55000000075</v>
      </c>
      <c r="N3" s="64">
        <v>884865.73000000045</v>
      </c>
      <c r="O3" s="64">
        <v>774647.1799999997</v>
      </c>
      <c r="P3" s="64">
        <v>865495.3599999994</v>
      </c>
      <c r="Q3" s="64">
        <v>706115.26999999955</v>
      </c>
      <c r="R3" s="64">
        <v>659839.1799999997</v>
      </c>
      <c r="S3" s="64">
        <v>714582.36359999981</v>
      </c>
      <c r="T3" s="64">
        <v>638704.08999999985</v>
      </c>
      <c r="U3" s="64">
        <v>320309.54549999908</v>
      </c>
      <c r="V3" s="64">
        <v>612775.09008999914</v>
      </c>
      <c r="W3" s="64">
        <v>884770.81799999997</v>
      </c>
      <c r="X3" s="64">
        <v>758352.54549999908</v>
      </c>
      <c r="Y3" s="64">
        <v>711202.90919999965</v>
      </c>
      <c r="Z3" s="64">
        <v>691312.90000000037</v>
      </c>
      <c r="AA3" s="64">
        <v>1395158.4545999998</v>
      </c>
      <c r="AB3" s="64">
        <v>806634</v>
      </c>
      <c r="AC3" s="64">
        <v>839094.27270000009</v>
      </c>
      <c r="AD3" s="64">
        <v>759525.98</v>
      </c>
      <c r="AE3" s="64">
        <v>1591054.4453999996</v>
      </c>
      <c r="AF3" s="64">
        <v>350144.88189999992</v>
      </c>
      <c r="AG3" s="64">
        <v>753870.36369999964</v>
      </c>
      <c r="AH3" s="64">
        <v>642217.36360000074</v>
      </c>
      <c r="AI3" s="64">
        <v>968920.72729999945</v>
      </c>
      <c r="AJ3" s="64">
        <v>970406.00899999961</v>
      </c>
      <c r="AK3" s="64">
        <v>998274.74540000036</v>
      </c>
      <c r="AL3" s="64">
        <v>1414879.9453999996</v>
      </c>
      <c r="AM3" s="64">
        <v>1559083.5818000007</v>
      </c>
      <c r="AN3" s="64">
        <v>1300856.5273000002</v>
      </c>
    </row>
    <row r="4" spans="1:40" ht="16.350000000000001" customHeight="1">
      <c r="B4" s="40" t="s">
        <v>113</v>
      </c>
      <c r="C4" s="9" t="s">
        <v>110</v>
      </c>
      <c r="D4" s="39"/>
      <c r="E4" s="64">
        <v>2915733.1124</v>
      </c>
      <c r="F4" s="64">
        <v>2424314.94</v>
      </c>
      <c r="G4" s="64">
        <v>1707546.2</v>
      </c>
      <c r="H4" s="64">
        <v>1227051.28</v>
      </c>
      <c r="I4" s="64">
        <v>1072725.1299999999</v>
      </c>
      <c r="J4" s="64">
        <v>1206473.02</v>
      </c>
      <c r="K4" s="64">
        <v>2315487.25</v>
      </c>
      <c r="L4" s="64">
        <v>953878.36</v>
      </c>
      <c r="M4" s="64">
        <v>1044208.44</v>
      </c>
      <c r="N4" s="64">
        <v>1043061.96</v>
      </c>
      <c r="O4" s="64">
        <v>1902058.57</v>
      </c>
      <c r="P4" s="64">
        <v>2196219.2400000002</v>
      </c>
      <c r="Q4" s="64">
        <v>1843028.76</v>
      </c>
      <c r="R4" s="64">
        <v>2280997.0300000003</v>
      </c>
      <c r="S4" s="64">
        <v>1368981.3900000001</v>
      </c>
      <c r="T4" s="64">
        <v>1195443.31</v>
      </c>
      <c r="U4" s="64">
        <v>1063413.19</v>
      </c>
      <c r="V4" s="64">
        <v>1014535</v>
      </c>
      <c r="W4" s="64">
        <v>1194590.31</v>
      </c>
      <c r="X4" s="64">
        <v>1174687.8999999999</v>
      </c>
      <c r="Y4" s="64">
        <v>1113369.1499999999</v>
      </c>
      <c r="Z4" s="64">
        <v>1439129.03</v>
      </c>
      <c r="AA4" s="64">
        <v>1877230.26</v>
      </c>
      <c r="AB4" s="64"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v>1167110.8530000001</v>
      </c>
      <c r="AG4" s="64">
        <v>1359876.166</v>
      </c>
      <c r="AH4" s="64">
        <v>1105592.25</v>
      </c>
      <c r="AI4" s="64">
        <v>1975665.3389999999</v>
      </c>
      <c r="AJ4" s="64">
        <v>1422319.4750000001</v>
      </c>
      <c r="AK4" s="64">
        <v>1294589.585</v>
      </c>
      <c r="AL4" s="64">
        <v>1650848.7689999999</v>
      </c>
      <c r="AM4" s="64">
        <v>1709052.9480000001</v>
      </c>
      <c r="AN4" s="64">
        <v>2550084.5520000001</v>
      </c>
    </row>
    <row r="5" spans="1:40" ht="16.350000000000001" customHeight="1">
      <c r="B5" s="40" t="s">
        <v>114</v>
      </c>
      <c r="C5" s="9" t="s">
        <v>110</v>
      </c>
      <c r="D5" s="39"/>
      <c r="E5" s="64">
        <v>93097696.409999996</v>
      </c>
      <c r="F5" s="64">
        <v>65386672.289999999</v>
      </c>
      <c r="G5" s="64">
        <v>56038112.489999995</v>
      </c>
      <c r="H5" s="64">
        <v>35417602.770000003</v>
      </c>
      <c r="I5" s="64">
        <v>35348194.479999997</v>
      </c>
      <c r="J5" s="64">
        <v>38659482.080000006</v>
      </c>
      <c r="K5" s="64">
        <v>40480338.43</v>
      </c>
      <c r="L5" s="64">
        <v>38135441.630000003</v>
      </c>
      <c r="M5" s="64">
        <v>36720075.872000001</v>
      </c>
      <c r="N5" s="64">
        <v>39275639.280000001</v>
      </c>
      <c r="O5" s="64">
        <v>56189873.75999999</v>
      </c>
      <c r="P5" s="64">
        <v>71929789.879999995</v>
      </c>
      <c r="Q5" s="64">
        <v>73634503.409999996</v>
      </c>
      <c r="R5" s="64">
        <v>75743670.139999986</v>
      </c>
      <c r="S5" s="64">
        <v>56023240.959999993</v>
      </c>
      <c r="T5" s="64">
        <v>40007971.799999997</v>
      </c>
      <c r="U5" s="64">
        <v>40072005</v>
      </c>
      <c r="V5" s="64">
        <v>39756947.890000001</v>
      </c>
      <c r="W5" s="64">
        <v>42840453.776999995</v>
      </c>
      <c r="X5" s="64">
        <v>45055964.497300006</v>
      </c>
      <c r="Y5" s="64">
        <v>38820433.777000003</v>
      </c>
      <c r="Z5" s="64">
        <v>44165708.979999997</v>
      </c>
      <c r="AA5" s="64">
        <v>61852648.020499997</v>
      </c>
      <c r="AB5" s="64"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v>42339780.035900004</v>
      </c>
      <c r="AG5" s="64">
        <v>40486575.288099997</v>
      </c>
      <c r="AH5" s="64">
        <v>45911130.129699998</v>
      </c>
      <c r="AI5" s="64">
        <v>49277767.8935</v>
      </c>
      <c r="AJ5" s="64">
        <v>45967832.543000005</v>
      </c>
      <c r="AK5" s="64">
        <v>37495656.113700002</v>
      </c>
      <c r="AL5" s="64">
        <v>45290225.868999995</v>
      </c>
      <c r="AM5" s="64">
        <v>58135530.007100001</v>
      </c>
      <c r="AN5" s="64">
        <v>73694042.522999987</v>
      </c>
    </row>
    <row r="6" spans="1:40" ht="16.350000000000001" customHeight="1">
      <c r="B6" s="40" t="s">
        <v>85</v>
      </c>
      <c r="C6" s="9" t="s">
        <v>110</v>
      </c>
      <c r="D6" s="39"/>
      <c r="E6" s="64">
        <v>18198270.600000001</v>
      </c>
      <c r="F6" s="64">
        <v>14315692.800000001</v>
      </c>
      <c r="G6" s="64">
        <v>46294442</v>
      </c>
      <c r="H6" s="64">
        <v>217803941.32999998</v>
      </c>
      <c r="I6" s="64">
        <v>299513713.80000001</v>
      </c>
      <c r="J6" s="64">
        <v>370753819.30000001</v>
      </c>
      <c r="K6" s="64">
        <v>396854327.28999996</v>
      </c>
      <c r="L6" s="64">
        <v>356585721</v>
      </c>
      <c r="M6" s="64">
        <v>269738144.60000002</v>
      </c>
      <c r="N6" s="64">
        <v>40334051.079999998</v>
      </c>
      <c r="O6" s="64">
        <v>25132816.600000001</v>
      </c>
      <c r="P6" s="64">
        <v>25773216.800000001</v>
      </c>
      <c r="Q6" s="64">
        <v>19907117.609999999</v>
      </c>
      <c r="R6" s="64">
        <v>25848911.890000001</v>
      </c>
      <c r="S6" s="64">
        <v>14710775.800000001</v>
      </c>
      <c r="T6" s="64">
        <v>108459389.2</v>
      </c>
      <c r="U6" s="64">
        <v>236908830.74000001</v>
      </c>
      <c r="V6" s="64">
        <v>283002690</v>
      </c>
      <c r="W6" s="64">
        <v>324487900.81999999</v>
      </c>
      <c r="X6" s="64">
        <v>349332419</v>
      </c>
      <c r="Y6" s="64">
        <v>210700778.36000001</v>
      </c>
      <c r="Z6" s="64">
        <v>48495745.979999997</v>
      </c>
      <c r="AA6" s="64">
        <v>19411069.940000001</v>
      </c>
      <c r="AB6" s="64"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v>155642806.45999998</v>
      </c>
      <c r="AG6" s="64">
        <v>334778057.70999998</v>
      </c>
      <c r="AH6" s="64">
        <v>364418475.24000001</v>
      </c>
      <c r="AI6" s="64">
        <v>407615523.68299997</v>
      </c>
      <c r="AJ6" s="64">
        <v>367052019.5</v>
      </c>
      <c r="AK6" s="64">
        <v>239744377.11199999</v>
      </c>
      <c r="AL6" s="64">
        <v>25178030.954</v>
      </c>
      <c r="AM6" s="64">
        <v>21137649.762999997</v>
      </c>
      <c r="AN6" s="64">
        <v>15772932.154300001</v>
      </c>
    </row>
    <row r="7" spans="1:40" ht="16.350000000000001" customHeight="1">
      <c r="B7" s="40" t="s">
        <v>115</v>
      </c>
      <c r="C7" s="9" t="s">
        <v>110</v>
      </c>
      <c r="D7" s="39"/>
      <c r="E7" s="64">
        <v>75241240.460000008</v>
      </c>
      <c r="F7" s="64">
        <v>54065216.079999998</v>
      </c>
      <c r="G7" s="64">
        <v>56868185.239999995</v>
      </c>
      <c r="H7" s="64">
        <v>42361449.269999996</v>
      </c>
      <c r="I7" s="64">
        <v>59492908.480000004</v>
      </c>
      <c r="J7" s="64">
        <v>51036942.179999992</v>
      </c>
      <c r="K7" s="64">
        <v>50485299.170000002</v>
      </c>
      <c r="L7" s="64">
        <v>59118047.420000002</v>
      </c>
      <c r="M7" s="64">
        <v>44681484.920000002</v>
      </c>
      <c r="N7" s="64">
        <v>45121617.969999999</v>
      </c>
      <c r="O7" s="64">
        <v>61822604.190000005</v>
      </c>
      <c r="P7" s="64">
        <v>48327903.25</v>
      </c>
      <c r="Q7" s="64">
        <v>54822523.149999999</v>
      </c>
      <c r="R7" s="64">
        <v>55628143.509999998</v>
      </c>
      <c r="S7" s="64">
        <v>46682009.109999999</v>
      </c>
      <c r="T7" s="64">
        <v>44694834.949999996</v>
      </c>
      <c r="U7" s="64">
        <v>44849324.32</v>
      </c>
      <c r="V7" s="64">
        <v>57789528.100000001</v>
      </c>
      <c r="W7" s="64">
        <v>63680096.719999999</v>
      </c>
      <c r="X7" s="64">
        <v>59570226.516000003</v>
      </c>
      <c r="Y7" s="64">
        <v>51721368.147</v>
      </c>
      <c r="Z7" s="64">
        <v>54452750.294</v>
      </c>
      <c r="AA7" s="64">
        <v>62680761.970000006</v>
      </c>
      <c r="AB7" s="64"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v>35014450.952</v>
      </c>
      <c r="AG7" s="64">
        <v>35134182.332999997</v>
      </c>
      <c r="AH7" s="64">
        <v>42715721.157000005</v>
      </c>
      <c r="AI7" s="64">
        <v>46899348.169</v>
      </c>
      <c r="AJ7" s="64">
        <v>45767179.559999995</v>
      </c>
      <c r="AK7" s="64">
        <v>37290962.982000001</v>
      </c>
      <c r="AL7" s="64">
        <v>44290298.490999997</v>
      </c>
      <c r="AM7" s="64">
        <v>37743916.866999999</v>
      </c>
      <c r="AN7" s="64">
        <v>40449871.121999994</v>
      </c>
    </row>
    <row r="8" spans="1:40" ht="16.350000000000001" customHeight="1">
      <c r="B8" s="40" t="s">
        <v>116</v>
      </c>
      <c r="C8" s="9" t="s">
        <v>110</v>
      </c>
      <c r="D8" s="39"/>
      <c r="E8" s="64">
        <v>15474787</v>
      </c>
      <c r="F8" s="64">
        <v>7657110</v>
      </c>
      <c r="G8" s="64">
        <v>20501330</v>
      </c>
      <c r="H8" s="64">
        <v>12854566</v>
      </c>
      <c r="I8" s="64">
        <v>24268466</v>
      </c>
      <c r="J8" s="64">
        <v>35326210</v>
      </c>
      <c r="K8" s="64">
        <v>38143766</v>
      </c>
      <c r="L8" s="64">
        <v>25783042</v>
      </c>
      <c r="M8" s="64">
        <v>19446802</v>
      </c>
      <c r="N8" s="64">
        <v>9456863</v>
      </c>
      <c r="O8" s="64">
        <v>7824866</v>
      </c>
      <c r="P8" s="64">
        <v>12820333</v>
      </c>
      <c r="Q8" s="64">
        <v>12423653.09</v>
      </c>
      <c r="R8" s="64">
        <v>8033740.5</v>
      </c>
      <c r="S8" s="64">
        <v>8606665</v>
      </c>
      <c r="T8" s="64">
        <v>21396398</v>
      </c>
      <c r="U8" s="64">
        <v>57961781</v>
      </c>
      <c r="V8" s="64">
        <v>105329493</v>
      </c>
      <c r="W8" s="64">
        <v>115068208</v>
      </c>
      <c r="X8" s="64">
        <v>60602428</v>
      </c>
      <c r="Y8" s="64">
        <v>39754138</v>
      </c>
      <c r="Z8" s="64">
        <v>16090448.629999999</v>
      </c>
      <c r="AA8" s="64">
        <v>10691279</v>
      </c>
      <c r="AB8" s="64">
        <v>13327065</v>
      </c>
      <c r="AC8" s="64">
        <v>11104826</v>
      </c>
      <c r="AD8" s="64">
        <v>11480067.34</v>
      </c>
      <c r="AE8" s="64">
        <v>20794960.594419673</v>
      </c>
      <c r="AF8" s="64">
        <v>13920375.35</v>
      </c>
      <c r="AG8" s="64">
        <v>11492762</v>
      </c>
      <c r="AH8" s="64">
        <v>6913869.0899999999</v>
      </c>
      <c r="AI8" s="64">
        <v>15036379</v>
      </c>
      <c r="AJ8" s="64">
        <v>8701709</v>
      </c>
      <c r="AK8" s="64">
        <v>3791985.9279999998</v>
      </c>
      <c r="AL8" s="64">
        <v>2705172.19</v>
      </c>
      <c r="AM8" s="64">
        <v>1367499.01</v>
      </c>
      <c r="AN8" s="64">
        <v>2148328.4510000004</v>
      </c>
    </row>
    <row r="9" spans="1:40" ht="16.350000000000001" customHeight="1">
      <c r="B9" s="40" t="s">
        <v>117</v>
      </c>
      <c r="C9" s="9" t="s">
        <v>110</v>
      </c>
      <c r="D9" s="39"/>
      <c r="E9" s="64">
        <v>145236168</v>
      </c>
      <c r="F9" s="64">
        <v>129472992</v>
      </c>
      <c r="G9" s="64">
        <v>139131093</v>
      </c>
      <c r="H9" s="64">
        <v>134681429</v>
      </c>
      <c r="I9" s="64">
        <v>141371385</v>
      </c>
      <c r="J9" s="64">
        <v>137855336</v>
      </c>
      <c r="K9" s="64">
        <v>145665716</v>
      </c>
      <c r="L9" s="64">
        <v>150318925</v>
      </c>
      <c r="M9" s="64">
        <v>146860330</v>
      </c>
      <c r="N9" s="64">
        <v>153010288.12</v>
      </c>
      <c r="O9" s="64">
        <v>149771612.50999999</v>
      </c>
      <c r="P9" s="64">
        <v>158533299</v>
      </c>
      <c r="Q9" s="64">
        <v>162707398.66999999</v>
      </c>
      <c r="R9" s="64">
        <v>154388757</v>
      </c>
      <c r="S9" s="64">
        <v>164476146.72999999</v>
      </c>
      <c r="T9" s="64">
        <v>159548244.83000001</v>
      </c>
      <c r="U9" s="64">
        <v>166562468.84</v>
      </c>
      <c r="V9" s="64">
        <v>163173039.04000002</v>
      </c>
      <c r="W9" s="64">
        <v>171707607.05000001</v>
      </c>
      <c r="X9" s="64">
        <v>174936748.84999999</v>
      </c>
      <c r="Y9" s="64">
        <v>170227406</v>
      </c>
      <c r="Z9" s="64">
        <v>176329081.44999999</v>
      </c>
      <c r="AA9" s="64">
        <v>176985424</v>
      </c>
      <c r="AB9" s="64">
        <v>196717436</v>
      </c>
      <c r="AC9" s="64">
        <v>203941315</v>
      </c>
      <c r="AD9" s="64">
        <v>185319821</v>
      </c>
      <c r="AE9" s="64">
        <v>205862586</v>
      </c>
      <c r="AF9" s="64">
        <v>198381413</v>
      </c>
      <c r="AG9" s="64">
        <v>201225943.22</v>
      </c>
      <c r="AH9" s="64">
        <v>188617853.13</v>
      </c>
      <c r="AI9" s="64">
        <v>171850429.38</v>
      </c>
      <c r="AJ9" s="64">
        <v>164709235</v>
      </c>
      <c r="AK9" s="64">
        <v>164198463</v>
      </c>
      <c r="AL9" s="64">
        <v>174088080</v>
      </c>
      <c r="AM9" s="64">
        <v>169649890</v>
      </c>
      <c r="AN9" s="64">
        <v>176049412</v>
      </c>
    </row>
    <row r="10" spans="1:40" ht="16.350000000000001" customHeight="1">
      <c r="B10" s="40" t="s">
        <v>118</v>
      </c>
      <c r="C10" s="9" t="s">
        <v>110</v>
      </c>
      <c r="D10" s="39"/>
      <c r="E10" s="64">
        <v>2480113</v>
      </c>
      <c r="F10" s="64">
        <v>1733209</v>
      </c>
      <c r="G10" s="64">
        <v>1202086</v>
      </c>
      <c r="H10" s="64">
        <v>1040154</v>
      </c>
      <c r="I10" s="64">
        <v>590707</v>
      </c>
      <c r="J10" s="64">
        <v>0</v>
      </c>
      <c r="K10" s="64">
        <v>0</v>
      </c>
      <c r="L10" s="64">
        <v>408752</v>
      </c>
      <c r="M10" s="64">
        <v>0</v>
      </c>
      <c r="N10" s="64">
        <v>0</v>
      </c>
      <c r="O10" s="64">
        <v>534352</v>
      </c>
      <c r="P10" s="64">
        <v>1807819</v>
      </c>
      <c r="Q10" s="64">
        <v>2380405</v>
      </c>
      <c r="R10" s="64">
        <v>2383208</v>
      </c>
      <c r="S10" s="64">
        <v>1172602</v>
      </c>
      <c r="T10" s="64">
        <v>1087907</v>
      </c>
      <c r="U10" s="64">
        <v>1494689.1</v>
      </c>
      <c r="V10" s="64">
        <v>1371571</v>
      </c>
      <c r="W10" s="64">
        <v>1576607</v>
      </c>
      <c r="X10" s="64">
        <v>1851827</v>
      </c>
      <c r="Y10" s="64">
        <v>1435405</v>
      </c>
      <c r="Z10" s="64">
        <v>1401676</v>
      </c>
      <c r="AA10" s="64">
        <v>2199821</v>
      </c>
      <c r="AB10" s="64">
        <v>2993785</v>
      </c>
      <c r="AC10" s="64">
        <v>3259925</v>
      </c>
      <c r="AD10" s="64">
        <v>2457165</v>
      </c>
      <c r="AE10" s="64">
        <v>2057307</v>
      </c>
      <c r="AF10" s="64">
        <v>1603013</v>
      </c>
      <c r="AG10" s="64">
        <v>1679001</v>
      </c>
      <c r="AH10" s="64">
        <v>1880385</v>
      </c>
      <c r="AI10" s="64">
        <v>2108631</v>
      </c>
      <c r="AJ10" s="64">
        <v>2450282</v>
      </c>
      <c r="AK10" s="64">
        <v>2169967</v>
      </c>
      <c r="AL10" s="64">
        <v>2412398</v>
      </c>
      <c r="AM10" s="64">
        <v>3686947</v>
      </c>
      <c r="AN10" s="64">
        <v>3540006</v>
      </c>
    </row>
    <row r="11" spans="1:40" ht="16.350000000000001" customHeight="1">
      <c r="B11" s="40" t="s">
        <v>101</v>
      </c>
      <c r="C11" s="9" t="s">
        <v>110</v>
      </c>
      <c r="D11" s="39"/>
      <c r="E11" s="64">
        <v>0</v>
      </c>
      <c r="F11" s="64">
        <v>0</v>
      </c>
      <c r="G11" s="64">
        <v>0</v>
      </c>
      <c r="H11" s="64">
        <v>0</v>
      </c>
      <c r="I11" s="64">
        <v>12981438</v>
      </c>
      <c r="J11" s="64">
        <v>22967732</v>
      </c>
      <c r="K11" s="64">
        <v>14125408</v>
      </c>
      <c r="L11" s="64">
        <v>15879022</v>
      </c>
      <c r="M11" s="64">
        <v>13898032</v>
      </c>
      <c r="N11" s="64">
        <v>13934624</v>
      </c>
      <c r="O11" s="64">
        <v>14633696</v>
      </c>
      <c r="P11" s="64">
        <v>8713344</v>
      </c>
      <c r="Q11" s="64">
        <v>3988088</v>
      </c>
      <c r="R11" s="64">
        <v>6108810</v>
      </c>
      <c r="S11" s="64">
        <v>4579866</v>
      </c>
      <c r="T11" s="64">
        <v>4630798</v>
      </c>
      <c r="U11" s="64">
        <v>13783434</v>
      </c>
      <c r="V11" s="64">
        <v>14029250</v>
      </c>
      <c r="W11" s="64">
        <v>15096010</v>
      </c>
      <c r="X11" s="64">
        <v>15985252</v>
      </c>
      <c r="Y11" s="64">
        <v>14391398</v>
      </c>
      <c r="Z11" s="64">
        <v>11879566</v>
      </c>
      <c r="AA11" s="64">
        <v>2354620</v>
      </c>
      <c r="AB11" s="64">
        <v>469382</v>
      </c>
      <c r="AC11" s="64">
        <v>1408132</v>
      </c>
      <c r="AD11" s="64">
        <v>3994906.35</v>
      </c>
      <c r="AE11" s="64">
        <v>3355281</v>
      </c>
      <c r="AF11" s="64">
        <v>2571550</v>
      </c>
      <c r="AG11" s="64">
        <v>5545570</v>
      </c>
      <c r="AH11" s="64">
        <v>13176399.529999999</v>
      </c>
      <c r="AI11" s="64">
        <v>13353800</v>
      </c>
      <c r="AJ11" s="64">
        <v>15374000</v>
      </c>
      <c r="AK11" s="64">
        <v>14392600</v>
      </c>
      <c r="AL11" s="64">
        <v>14805800</v>
      </c>
      <c r="AM11" s="64">
        <v>14468200</v>
      </c>
      <c r="AN11" s="64">
        <v>1427600</v>
      </c>
    </row>
    <row r="12" spans="1:40" ht="16.350000000000001" customHeight="1">
      <c r="B12" s="40" t="s">
        <v>86</v>
      </c>
      <c r="C12" s="9" t="s">
        <v>110</v>
      </c>
      <c r="D12" s="39"/>
      <c r="E12" s="64">
        <v>918834481.98000002</v>
      </c>
      <c r="F12" s="64">
        <v>629318933.5</v>
      </c>
      <c r="G12" s="64">
        <v>468483341.69999999</v>
      </c>
      <c r="H12" s="64">
        <v>399871676.99000001</v>
      </c>
      <c r="I12" s="64">
        <v>350379204.37000006</v>
      </c>
      <c r="J12" s="64">
        <v>355775342.06999993</v>
      </c>
      <c r="K12" s="64">
        <v>379678149.1500001</v>
      </c>
      <c r="L12" s="64">
        <v>359093242.87</v>
      </c>
      <c r="M12" s="64">
        <v>329878552.95999998</v>
      </c>
      <c r="N12" s="64">
        <v>384081294.06</v>
      </c>
      <c r="O12" s="64">
        <v>497647371.21999997</v>
      </c>
      <c r="P12" s="64">
        <v>758010023.17999995</v>
      </c>
      <c r="Q12" s="64">
        <v>747335179.60000002</v>
      </c>
      <c r="R12" s="64">
        <v>714317631.70000005</v>
      </c>
      <c r="S12" s="64">
        <v>533068544.53000003</v>
      </c>
      <c r="T12" s="64">
        <v>401384861.71000004</v>
      </c>
      <c r="U12" s="64">
        <v>371793423.20000005</v>
      </c>
      <c r="V12" s="64">
        <v>378527171.95700002</v>
      </c>
      <c r="W12" s="64">
        <v>421417413.36799997</v>
      </c>
      <c r="X12" s="64">
        <v>431909591.51799995</v>
      </c>
      <c r="Y12" s="64">
        <v>354784627.07099998</v>
      </c>
      <c r="Z12" s="64">
        <v>413590465.86999995</v>
      </c>
      <c r="AA12" s="64">
        <v>611469500.23899984</v>
      </c>
      <c r="AB12" s="64"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v>457043163.44999999</v>
      </c>
      <c r="AG12" s="64">
        <v>448742596.61500001</v>
      </c>
      <c r="AH12" s="64">
        <v>479600836.00599992</v>
      </c>
      <c r="AI12" s="64">
        <v>566633789.75699997</v>
      </c>
      <c r="AJ12" s="64">
        <v>527199626.12100005</v>
      </c>
      <c r="AK12" s="64">
        <v>432092395.33099991</v>
      </c>
      <c r="AL12" s="64">
        <v>461792348.73400003</v>
      </c>
      <c r="AM12" s="64">
        <v>615661900.27199984</v>
      </c>
      <c r="AN12" s="64">
        <v>787334717.72099996</v>
      </c>
    </row>
    <row r="13" spans="1:40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0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I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  <c r="AI14" s="66">
        <f t="shared" si="1"/>
        <v>1663682544.9133</v>
      </c>
      <c r="AJ14" s="66">
        <f>SUBTOTAL(9,AJ2:AJ12)</f>
        <v>1567375644.6059999</v>
      </c>
      <c r="AK14" s="66">
        <f>SUBTOTAL(9,AK2:AK12)</f>
        <v>1299248665.2988999</v>
      </c>
      <c r="AL14" s="66">
        <v>1146116135.4013</v>
      </c>
      <c r="AM14" s="66">
        <v>1278389297.4836998</v>
      </c>
      <c r="AN14" s="66">
        <v>1496125450.2347</v>
      </c>
    </row>
    <row r="15" spans="1:40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40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  <c r="AI16" s="19">
        <v>45839</v>
      </c>
      <c r="AJ16" s="19">
        <v>45870</v>
      </c>
      <c r="AK16" s="19">
        <v>45901</v>
      </c>
      <c r="AL16" s="19">
        <v>45931</v>
      </c>
      <c r="AM16" s="19">
        <v>45962</v>
      </c>
      <c r="AN16" s="19">
        <v>45992</v>
      </c>
    </row>
    <row r="17" spans="1:40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K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>AG42/AG2</f>
        <v>0.90799051481241755</v>
      </c>
      <c r="AH17" s="71">
        <f>AH42/AH2</f>
        <v>0.90210358325116768</v>
      </c>
      <c r="AI17" s="71">
        <f>AI42/AI2</f>
        <v>0.9012099217832511</v>
      </c>
      <c r="AJ17" s="71">
        <f>AJ42/AJ2</f>
        <v>0.8919578282131696</v>
      </c>
      <c r="AK17" s="71">
        <f>AK42/AK2</f>
        <v>0.89918389992743664</v>
      </c>
      <c r="AL17" s="71">
        <v>0.90281675539867434</v>
      </c>
      <c r="AM17" s="71">
        <v>0.88625733393907913</v>
      </c>
      <c r="AN17" s="71">
        <v>0.88607476495207771</v>
      </c>
    </row>
    <row r="18" spans="1:40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  <c r="AI18" s="71">
        <f t="shared" si="3"/>
        <v>0.16079410867609881</v>
      </c>
      <c r="AJ18" s="71">
        <f t="shared" si="3"/>
        <v>0.16034274165340587</v>
      </c>
      <c r="AK18" s="71">
        <f t="shared" si="3"/>
        <v>0.30296877286103463</v>
      </c>
      <c r="AL18" s="71">
        <v>0.62550981131745165</v>
      </c>
      <c r="AM18" s="71">
        <v>0.44995437359046714</v>
      </c>
      <c r="AN18" s="71">
        <v>0.92297215478483641</v>
      </c>
    </row>
    <row r="19" spans="1:40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  <c r="AI19" s="71">
        <f t="shared" si="3"/>
        <v>0.69333002051568615</v>
      </c>
      <c r="AJ19" s="71">
        <f t="shared" si="3"/>
        <v>0.69890547006677239</v>
      </c>
      <c r="AK19" s="71">
        <f t="shared" si="3"/>
        <v>0.70615682683327019</v>
      </c>
      <c r="AL19" s="71">
        <v>0.69395426427095086</v>
      </c>
      <c r="AM19" s="71">
        <v>0.65854667797337307</v>
      </c>
      <c r="AN19" s="71">
        <v>0.68474917739982444</v>
      </c>
    </row>
    <row r="20" spans="1:40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  <c r="AI20" s="71">
        <f t="shared" si="3"/>
        <v>0.40381112663351326</v>
      </c>
      <c r="AJ20" s="71">
        <f t="shared" si="3"/>
        <v>0.39937550017386297</v>
      </c>
      <c r="AK20" s="71">
        <f t="shared" si="3"/>
        <v>0.40208325097246289</v>
      </c>
      <c r="AL20" s="71">
        <v>0.40198441945738933</v>
      </c>
      <c r="AM20" s="71">
        <v>0.27091688423508808</v>
      </c>
      <c r="AN20" s="71">
        <v>0.38473366656262792</v>
      </c>
    </row>
    <row r="21" spans="1:40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  <c r="AI21" s="71">
        <f t="shared" si="3"/>
        <v>0.12404110804446947</v>
      </c>
      <c r="AJ21" s="71">
        <f t="shared" si="3"/>
        <v>0.11816043354530568</v>
      </c>
      <c r="AK21" s="71">
        <f t="shared" si="3"/>
        <v>0.12352739002291149</v>
      </c>
      <c r="AL21" s="71">
        <v>0.3470709065642687</v>
      </c>
      <c r="AM21" s="71">
        <v>0.27967805509395322</v>
      </c>
      <c r="AN21" s="71">
        <v>0.22777002103154226</v>
      </c>
    </row>
    <row r="22" spans="1:40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  <c r="AI22" s="71">
        <f t="shared" si="3"/>
        <v>0.16766122154434326</v>
      </c>
      <c r="AJ22" s="71">
        <f t="shared" si="3"/>
        <v>0.16746731733057665</v>
      </c>
      <c r="AK22" s="71">
        <f t="shared" si="3"/>
        <v>0.15452945317101438</v>
      </c>
      <c r="AL22" s="71">
        <v>0.17428795314862444</v>
      </c>
      <c r="AM22" s="71">
        <v>0.14168639390324245</v>
      </c>
      <c r="AN22" s="71">
        <v>9.294064646785255E-2</v>
      </c>
    </row>
    <row r="23" spans="1:40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  <c r="AI23" s="71">
        <f t="shared" si="3"/>
        <v>0.12275428144635088</v>
      </c>
      <c r="AJ23" s="71">
        <f t="shared" si="3"/>
        <v>0.12275832587598595</v>
      </c>
      <c r="AK23" s="71">
        <f t="shared" si="3"/>
        <v>0.12269834485314049</v>
      </c>
      <c r="AL23" s="71">
        <v>0.11141147418124242</v>
      </c>
      <c r="AM23" s="71">
        <v>-1.3145442789022571E-2</v>
      </c>
      <c r="AN23" s="71">
        <v>-0.19227322934895114</v>
      </c>
    </row>
    <row r="24" spans="1:40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  <c r="AI24" s="71">
        <f t="shared" si="3"/>
        <v>0.20800172440046305</v>
      </c>
      <c r="AJ24" s="71">
        <f t="shared" si="3"/>
        <v>0.20805459607532029</v>
      </c>
      <c r="AK24" s="71">
        <f t="shared" si="3"/>
        <v>0.20804143388479829</v>
      </c>
      <c r="AL24" s="71">
        <v>0.20846650233605885</v>
      </c>
      <c r="AM24" s="71">
        <v>0.20846506499945269</v>
      </c>
      <c r="AN24" s="71">
        <v>0.20843019143966243</v>
      </c>
    </row>
    <row r="25" spans="1:40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  <c r="AI25" s="71">
        <f t="shared" si="3"/>
        <v>0.15241204364348243</v>
      </c>
      <c r="AJ25" s="71">
        <f t="shared" si="3"/>
        <v>0.15136103109764509</v>
      </c>
      <c r="AK25" s="71">
        <f t="shared" si="3"/>
        <v>0.1503730056724365</v>
      </c>
      <c r="AL25" s="71">
        <v>0.14851502115322598</v>
      </c>
      <c r="AM25" s="71">
        <v>0.14837303601055291</v>
      </c>
      <c r="AN25" s="71">
        <v>0.14802103442762526</v>
      </c>
    </row>
    <row r="26" spans="1:40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  <c r="AI26" s="71">
        <f t="shared" si="3"/>
        <v>0.35359999999999997</v>
      </c>
      <c r="AJ26" s="71">
        <f t="shared" si="3"/>
        <v>0.35360000000000003</v>
      </c>
      <c r="AK26" s="71">
        <f t="shared" si="3"/>
        <v>0.35360000000000003</v>
      </c>
      <c r="AL26" s="71">
        <v>0.35359999999999997</v>
      </c>
      <c r="AM26" s="71">
        <v>0.35360002557332632</v>
      </c>
      <c r="AN26" s="71">
        <v>0.35359999999999997</v>
      </c>
    </row>
    <row r="27" spans="1:40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  <c r="AI27" s="71">
        <f t="shared" si="3"/>
        <v>0.35538433901643307</v>
      </c>
      <c r="AJ27" s="71">
        <f t="shared" si="3"/>
        <v>0.35332207494266699</v>
      </c>
      <c r="AK27" s="71">
        <f t="shared" si="3"/>
        <v>0.35388874115941538</v>
      </c>
      <c r="AL27" s="71">
        <v>0.35483533687625723</v>
      </c>
      <c r="AM27" s="71">
        <v>0.35123256716004486</v>
      </c>
      <c r="AN27" s="71">
        <v>0.3539428667193551</v>
      </c>
    </row>
    <row r="28" spans="1:40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 t="e">
        <v>#DIV/0!</v>
      </c>
      <c r="AM28" s="71" t="e">
        <v>#DIV/0!</v>
      </c>
      <c r="AN28" s="71" t="e">
        <v>#DIV/0!</v>
      </c>
    </row>
    <row r="29" spans="1:40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  <c r="AI29" s="73">
        <f t="shared" ref="AI29:AK29" si="17">AI54/AI14</f>
        <v>0.40481957985496664</v>
      </c>
      <c r="AJ29" s="73">
        <f t="shared" si="17"/>
        <v>0.4107663828371092</v>
      </c>
      <c r="AK29" s="73">
        <f t="shared" si="17"/>
        <v>0.44142974826938597</v>
      </c>
      <c r="AL29" s="133">
        <v>50.52102808256366</v>
      </c>
      <c r="AM29" s="133">
        <v>46.869591955490279</v>
      </c>
      <c r="AN29" s="133">
        <v>46.911027310021744</v>
      </c>
    </row>
    <row r="30" spans="1:40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40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  <c r="AF31" s="19">
        <v>45748</v>
      </c>
      <c r="AG31" s="19">
        <v>45778</v>
      </c>
      <c r="AH31" s="19">
        <v>45809</v>
      </c>
      <c r="AI31" s="19">
        <v>45839</v>
      </c>
      <c r="AJ31" s="19">
        <v>45870</v>
      </c>
      <c r="AK31" s="19">
        <v>45901</v>
      </c>
      <c r="AL31" s="19">
        <v>45931</v>
      </c>
      <c r="AM31" s="19">
        <v>45962</v>
      </c>
      <c r="AN31" s="19">
        <v>45992</v>
      </c>
    </row>
    <row r="32" spans="1:40" ht="16.350000000000001" customHeight="1">
      <c r="B32" s="44" t="s">
        <v>100</v>
      </c>
      <c r="C32" s="39" t="s">
        <v>88</v>
      </c>
      <c r="D32" s="39"/>
      <c r="E32" s="33"/>
    </row>
    <row r="33" spans="1:40" ht="16.350000000000001" customHeight="1">
      <c r="B33" s="40" t="s">
        <v>83</v>
      </c>
      <c r="C33" s="39" t="s">
        <v>88</v>
      </c>
      <c r="D33" s="37"/>
      <c r="E33" s="33"/>
    </row>
    <row r="34" spans="1:40" ht="16.350000000000001" customHeight="1">
      <c r="B34" s="40" t="s">
        <v>101</v>
      </c>
      <c r="C34" s="39" t="s">
        <v>88</v>
      </c>
      <c r="D34" s="37"/>
      <c r="E34" s="33"/>
    </row>
    <row r="35" spans="1:40" ht="16.350000000000001" customHeight="1">
      <c r="B35" s="40" t="s">
        <v>84</v>
      </c>
      <c r="C35" s="39" t="s">
        <v>88</v>
      </c>
      <c r="D35" s="39"/>
      <c r="E35" s="33"/>
    </row>
    <row r="36" spans="1:40" ht="16.350000000000001" customHeight="1">
      <c r="B36" s="40" t="s">
        <v>85</v>
      </c>
      <c r="C36" s="39" t="s">
        <v>88</v>
      </c>
      <c r="D36" s="39"/>
      <c r="E36" s="33"/>
    </row>
    <row r="37" spans="1:40" ht="16.350000000000001" customHeight="1">
      <c r="B37" s="40" t="s">
        <v>86</v>
      </c>
      <c r="C37" s="39" t="s">
        <v>88</v>
      </c>
      <c r="D37" s="39"/>
      <c r="E37" s="33"/>
    </row>
    <row r="38" spans="1:40" ht="16.350000000000001" customHeight="1">
      <c r="B38" s="40" t="s">
        <v>1</v>
      </c>
      <c r="C38" s="39" t="s">
        <v>88</v>
      </c>
      <c r="D38" s="39"/>
      <c r="E38" s="33"/>
    </row>
    <row r="39" spans="1:40" ht="16.350000000000001" customHeight="1">
      <c r="B39" s="41" t="s">
        <v>0</v>
      </c>
      <c r="C39" s="39" t="s">
        <v>88</v>
      </c>
      <c r="D39" s="39"/>
      <c r="E39" s="34"/>
    </row>
    <row r="40" spans="1:40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40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  <c r="AI41" s="19">
        <v>45839</v>
      </c>
      <c r="AJ41" s="19">
        <v>45870</v>
      </c>
      <c r="AK41" s="19">
        <v>45901</v>
      </c>
      <c r="AL41" s="19">
        <v>45931</v>
      </c>
      <c r="AM41" s="19">
        <v>45962</v>
      </c>
      <c r="AN41" s="19">
        <v>45992</v>
      </c>
    </row>
    <row r="42" spans="1:40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  <c r="AI42" s="64">
        <v>349635464.99375796</v>
      </c>
      <c r="AJ42" s="64">
        <v>345866490.99929005</v>
      </c>
      <c r="AK42" s="64">
        <v>328902941.56204104</v>
      </c>
      <c r="AL42" s="64">
        <v>336288454.93668711</v>
      </c>
      <c r="AM42" s="64">
        <v>313087798.70377195</v>
      </c>
      <c r="AN42" s="64">
        <v>347215130.09173691</v>
      </c>
    </row>
    <row r="43" spans="1:40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  <c r="AI43" s="64">
        <v>155796.7447240008</v>
      </c>
      <c r="AJ43" s="64">
        <v>155597.55999999959</v>
      </c>
      <c r="AK43" s="64">
        <v>302446.07459199987</v>
      </c>
      <c r="AL43" s="64">
        <v>885021.2876840001</v>
      </c>
      <c r="AM43" s="64">
        <v>701516.47642400116</v>
      </c>
      <c r="AN43" s="64">
        <v>1200654.3520680005</v>
      </c>
    </row>
    <row r="44" spans="1:40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  <c r="AI44" s="64">
        <v>1369788.090021</v>
      </c>
      <c r="AJ44" s="64">
        <v>994066.86126000003</v>
      </c>
      <c r="AK44" s="64">
        <v>914183.27339500003</v>
      </c>
      <c r="AL44" s="64">
        <v>1145613.5429139999</v>
      </c>
      <c r="AM44" s="64">
        <v>1125491.141386</v>
      </c>
      <c r="AN44" s="64">
        <v>1746168.2992819999</v>
      </c>
    </row>
    <row r="45" spans="1:40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  <c r="AI45" s="64">
        <v>19898910.971059002</v>
      </c>
      <c r="AJ45" s="64">
        <v>18358426.113769002</v>
      </c>
      <c r="AK45" s="64">
        <v>15076375.307542</v>
      </c>
      <c r="AL45" s="64">
        <v>18205965.153044</v>
      </c>
      <c r="AM45" s="64">
        <v>15749896.652879</v>
      </c>
      <c r="AN45" s="64">
        <v>28352579.183695998</v>
      </c>
    </row>
    <row r="46" spans="1:40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  <c r="AI46" s="64">
        <v>50561081.213766001</v>
      </c>
      <c r="AJ46" s="64">
        <v>43371025.757799998</v>
      </c>
      <c r="AK46" s="64">
        <v>29614997.177313998</v>
      </c>
      <c r="AL46" s="64">
        <v>8738562.0287079997</v>
      </c>
      <c r="AM46" s="64">
        <v>5911736.7749730004</v>
      </c>
      <c r="AN46" s="64">
        <v>3592601.0885140002</v>
      </c>
    </row>
    <row r="47" spans="1:40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  <c r="AI47" s="64">
        <v>7863202.0036479989</v>
      </c>
      <c r="AJ47" s="64">
        <v>7664506.7827000003</v>
      </c>
      <c r="AK47" s="64">
        <v>5762552.1178289996</v>
      </c>
      <c r="AL47" s="64">
        <v>7719265.4683379997</v>
      </c>
      <c r="AM47" s="64">
        <v>5347799.4726689989</v>
      </c>
      <c r="AN47" s="64">
        <v>3759437.1716199997</v>
      </c>
    </row>
    <row r="48" spans="1:40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  <c r="AI48" s="64">
        <v>1845779.8997</v>
      </c>
      <c r="AJ48" s="64">
        <v>1068207.2290999999</v>
      </c>
      <c r="AK48" s="64">
        <v>465270.39707199996</v>
      </c>
      <c r="AL48" s="64">
        <v>301387.22160200001</v>
      </c>
      <c r="AM48" s="64">
        <v>-17976.380000000005</v>
      </c>
      <c r="AN48" s="64">
        <v>-413066.04897599999</v>
      </c>
    </row>
    <row r="49" spans="1:40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  <c r="AI49" s="64">
        <v>35745185.649999999</v>
      </c>
      <c r="AJ49" s="64">
        <v>34268513.357800007</v>
      </c>
      <c r="AK49" s="64">
        <v>34160083.684199996</v>
      </c>
      <c r="AL49" s="64">
        <v>36291533.136</v>
      </c>
      <c r="AM49" s="64">
        <v>35366075.346000001</v>
      </c>
      <c r="AN49" s="64">
        <v>36694012.646000005</v>
      </c>
    </row>
    <row r="50" spans="1:40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  <c r="AI50" s="64">
        <v>321380.76</v>
      </c>
      <c r="AJ50" s="64">
        <v>370877.21</v>
      </c>
      <c r="AK50" s="64">
        <v>326304.46000000002</v>
      </c>
      <c r="AL50" s="64">
        <v>358277.34</v>
      </c>
      <c r="AM50" s="64">
        <v>547043.52</v>
      </c>
      <c r="AN50" s="64">
        <v>523995.35</v>
      </c>
    </row>
    <row r="51" spans="1:40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  <c r="AI51" s="64">
        <v>4721903.68</v>
      </c>
      <c r="AJ51" s="64">
        <v>5436246.4000000004</v>
      </c>
      <c r="AK51" s="64">
        <v>5089223.3600000003</v>
      </c>
      <c r="AL51" s="64">
        <v>5235330.88</v>
      </c>
      <c r="AM51" s="64">
        <v>5115955.8899999997</v>
      </c>
      <c r="AN51" s="64">
        <v>504799.36</v>
      </c>
    </row>
    <row r="52" spans="1:40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  <c r="AI52" s="64">
        <v>201372774.83716795</v>
      </c>
      <c r="AJ52" s="64">
        <v>186271265.81007001</v>
      </c>
      <c r="AK52" s="64">
        <v>152912633.84824401</v>
      </c>
      <c r="AL52" s="64">
        <v>163860243.62990695</v>
      </c>
      <c r="AM52" s="64">
        <v>216240509.73516601</v>
      </c>
      <c r="AN52" s="64">
        <v>278671507.05784494</v>
      </c>
    </row>
    <row r="53" spans="1:40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40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K54" si="18">SUBTOTAL(9,F42:F52)</f>
        <v>363641194.23599994</v>
      </c>
      <c r="G54" s="66">
        <f t="shared" si="18"/>
        <v>340191747.31844997</v>
      </c>
      <c r="H54" s="66">
        <f t="shared" si="18"/>
        <v>306456781.5485965</v>
      </c>
      <c r="I54" s="66">
        <f t="shared" si="18"/>
        <v>313771017.93823504</v>
      </c>
      <c r="J54" s="66">
        <f>SUBTOTAL(9,J42:J52)</f>
        <v>333625774.52464497</v>
      </c>
      <c r="K54" s="66">
        <f t="shared" si="18"/>
        <v>356644042.54176503</v>
      </c>
      <c r="L54" s="66">
        <f t="shared" si="18"/>
        <v>351686754.6873101</v>
      </c>
      <c r="M54" s="66">
        <f t="shared" si="18"/>
        <v>317352737.82613099</v>
      </c>
      <c r="N54" s="66">
        <f t="shared" si="18"/>
        <v>321022486.90932506</v>
      </c>
      <c r="O54" s="66">
        <f t="shared" si="18"/>
        <v>366432077.40360498</v>
      </c>
      <c r="P54" s="66">
        <f t="shared" si="18"/>
        <v>460930248.98232007</v>
      </c>
      <c r="Q54" s="66">
        <f t="shared" si="18"/>
        <v>523217354.07834208</v>
      </c>
      <c r="R54" s="66">
        <f t="shared" si="18"/>
        <v>495138350.99252605</v>
      </c>
      <c r="S54" s="66">
        <f t="shared" si="18"/>
        <v>406312144.19433612</v>
      </c>
      <c r="T54" s="66">
        <f t="shared" si="18"/>
        <v>365606248.47004998</v>
      </c>
      <c r="U54" s="66">
        <f t="shared" si="18"/>
        <v>399277389.37129998</v>
      </c>
      <c r="V54" s="66">
        <f t="shared" si="18"/>
        <v>420361792.70676798</v>
      </c>
      <c r="W54" s="66">
        <f t="shared" si="18"/>
        <v>464943394.06403601</v>
      </c>
      <c r="X54" s="66">
        <f t="shared" si="18"/>
        <v>479286746.60358691</v>
      </c>
      <c r="Y54" s="66">
        <f t="shared" si="18"/>
        <v>412995283.71307635</v>
      </c>
      <c r="Z54" s="66">
        <f t="shared" si="18"/>
        <v>429798017.13798803</v>
      </c>
      <c r="AA54" s="66">
        <f t="shared" si="18"/>
        <v>499969147.97461396</v>
      </c>
      <c r="AB54" s="66">
        <f t="shared" si="18"/>
        <v>628885169.22644591</v>
      </c>
      <c r="AC54" s="66">
        <f t="shared" si="18"/>
        <v>603980211.09203732</v>
      </c>
      <c r="AD54" s="66">
        <f t="shared" si="18"/>
        <v>539169702.57736802</v>
      </c>
      <c r="AE54" s="66">
        <f t="shared" si="18"/>
        <v>518299188.20599341</v>
      </c>
      <c r="AF54" s="66">
        <f t="shared" si="18"/>
        <v>506886480.07478595</v>
      </c>
      <c r="AG54" s="66">
        <f t="shared" si="18"/>
        <v>575517847.59775603</v>
      </c>
      <c r="AH54" s="66">
        <f t="shared" si="18"/>
        <v>600605023.88974488</v>
      </c>
      <c r="AI54" s="66">
        <f t="shared" si="18"/>
        <v>673491268.84384382</v>
      </c>
      <c r="AJ54" s="66">
        <f>SUBTOTAL(9,AJ42:AJ52)</f>
        <v>643825224.08178902</v>
      </c>
      <c r="AK54" s="66">
        <f t="shared" si="18"/>
        <v>573527011.26222908</v>
      </c>
      <c r="AL54" s="66">
        <v>579029654.62488401</v>
      </c>
      <c r="AM54" s="66">
        <v>599175847.33326888</v>
      </c>
      <c r="AN54" s="66">
        <v>701847818.55178595</v>
      </c>
    </row>
    <row r="55" spans="1:40" ht="16.350000000000001" customHeight="1">
      <c r="B55" s="18"/>
      <c r="C55" s="39"/>
      <c r="D55" s="39"/>
    </row>
    <row r="56" spans="1:40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  <c r="AI56" s="19">
        <v>45839</v>
      </c>
      <c r="AJ56" s="19">
        <v>45870</v>
      </c>
      <c r="AK56" s="19">
        <v>45901</v>
      </c>
      <c r="AL56" s="19">
        <v>45931</v>
      </c>
      <c r="AM56" s="19">
        <v>45962</v>
      </c>
      <c r="AN56" s="19">
        <v>45992</v>
      </c>
    </row>
    <row r="57" spans="1:40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  <c r="AI57" s="64">
        <v>314369100.87982309</v>
      </c>
      <c r="AJ57" s="64">
        <v>327618893.21699995</v>
      </c>
      <c r="AK57" s="64">
        <v>352544292.02528602</v>
      </c>
      <c r="AL57" s="64">
        <v>341248351.47318107</v>
      </c>
      <c r="AM57" s="64">
        <v>327686127.96121293</v>
      </c>
      <c r="AN57" s="64">
        <v>310966772.61789417</v>
      </c>
    </row>
    <row r="58" spans="1:40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  <c r="AI58" s="64">
        <v>74578.114710000344</v>
      </c>
      <c r="AJ58" s="64">
        <v>119354.3900000006</v>
      </c>
      <c r="AK58" s="64">
        <v>83767.94000000041</v>
      </c>
      <c r="AL58" s="64">
        <v>93428.58</v>
      </c>
      <c r="AM58" s="64">
        <v>1287992.9799999995</v>
      </c>
      <c r="AN58" s="64">
        <v>1287226.5300000003</v>
      </c>
    </row>
    <row r="59" spans="1:40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  <c r="AI59" s="64">
        <v>845553.7335320001</v>
      </c>
      <c r="AJ59" s="64">
        <v>803597.25</v>
      </c>
      <c r="AK59" s="64">
        <v>709681.21082299994</v>
      </c>
      <c r="AL59" s="64">
        <v>364647.12743699999</v>
      </c>
      <c r="AM59" s="64">
        <v>590093.13694099989</v>
      </c>
      <c r="AN59" s="64">
        <v>1081514.1299999999</v>
      </c>
    </row>
    <row r="60" spans="1:40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  <c r="AI60" s="64">
        <v>13925636.544891002</v>
      </c>
      <c r="AJ60" s="64">
        <v>18779887.156000003</v>
      </c>
      <c r="AK60" s="64">
        <v>6557582.2830339996</v>
      </c>
      <c r="AL60" s="64">
        <v>28250151.129256003</v>
      </c>
      <c r="AM60" s="64">
        <v>12368110.894684002</v>
      </c>
      <c r="AN60" s="64">
        <v>48070163.260000005</v>
      </c>
    </row>
    <row r="61" spans="1:40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  <c r="AI61" s="64">
        <v>16692126.293675</v>
      </c>
      <c r="AJ61" s="64">
        <v>18304521.640000001</v>
      </c>
      <c r="AK61" s="64">
        <v>14639446.696036998</v>
      </c>
      <c r="AL61" s="64">
        <v>15035464.481663</v>
      </c>
      <c r="AM61" s="64">
        <v>7421480.2817400005</v>
      </c>
      <c r="AN61" s="64">
        <v>23734419.559999995</v>
      </c>
    </row>
    <row r="62" spans="1:40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  <c r="AI62" s="64">
        <v>4494546.3862140002</v>
      </c>
      <c r="AJ62" s="64">
        <v>5464185.5599999996</v>
      </c>
      <c r="AK62" s="64">
        <v>5289578.6052629994</v>
      </c>
      <c r="AL62" s="64">
        <v>6122931.2680569999</v>
      </c>
      <c r="AM62" s="64">
        <v>5086015.1464900002</v>
      </c>
      <c r="AN62" s="64">
        <v>5761257.2699999996</v>
      </c>
    </row>
    <row r="63" spans="1:40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  <c r="AI63" s="64">
        <v>623096.21</v>
      </c>
      <c r="AJ63" s="64">
        <v>764843.35</v>
      </c>
      <c r="AK63" s="64">
        <v>437825.44707199995</v>
      </c>
      <c r="AL63" s="64">
        <v>1707681.100445</v>
      </c>
      <c r="AM63" s="64">
        <v>236072.38000000003</v>
      </c>
      <c r="AN63" s="64">
        <v>1135593.7315839999</v>
      </c>
    </row>
    <row r="64" spans="1:40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  <c r="AI64" s="64">
        <v>12693655</v>
      </c>
      <c r="AJ64" s="64">
        <v>0</v>
      </c>
      <c r="AK64" s="64">
        <v>0</v>
      </c>
      <c r="AL64" s="64">
        <v>18000000</v>
      </c>
      <c r="AM64" s="64">
        <v>3000000</v>
      </c>
      <c r="AN64" s="64">
        <v>73000000</v>
      </c>
    </row>
    <row r="65" spans="1:40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  <c r="AI65" s="64">
        <v>100000</v>
      </c>
      <c r="AJ65" s="64">
        <v>200000</v>
      </c>
      <c r="AK65" s="64">
        <v>0</v>
      </c>
      <c r="AL65" s="64">
        <v>300000</v>
      </c>
      <c r="AM65" s="64">
        <v>300000</v>
      </c>
      <c r="AN65" s="64">
        <v>600000</v>
      </c>
    </row>
    <row r="66" spans="1:40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  <c r="AI66" s="64">
        <v>3000000</v>
      </c>
      <c r="AJ66" s="64">
        <v>5821581</v>
      </c>
      <c r="AK66" s="64">
        <v>6500000</v>
      </c>
      <c r="AL66" s="64">
        <v>0</v>
      </c>
      <c r="AM66" s="64">
        <v>6788700</v>
      </c>
      <c r="AN66" s="64">
        <v>4000000</v>
      </c>
    </row>
    <row r="67" spans="1:40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  <c r="AI67" s="64">
        <v>184800790.55707294</v>
      </c>
      <c r="AJ67" s="64">
        <v>204862020.53999999</v>
      </c>
      <c r="AK67" s="64">
        <v>191077738.04272097</v>
      </c>
      <c r="AL67" s="64">
        <v>165386449.72231904</v>
      </c>
      <c r="AM67" s="64">
        <v>162989426.20438096</v>
      </c>
      <c r="AN67" s="64">
        <v>222919725.20000002</v>
      </c>
    </row>
    <row r="68" spans="1:40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40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9">SUBTOTAL(9,F57:F67)</f>
        <v>313447671.96000004</v>
      </c>
      <c r="G69" s="66">
        <f t="shared" si="19"/>
        <v>791439457.48000002</v>
      </c>
      <c r="H69" s="66">
        <f t="shared" si="19"/>
        <v>271232399.55999994</v>
      </c>
      <c r="I69" s="66">
        <f t="shared" si="19"/>
        <v>267902964.01999992</v>
      </c>
      <c r="J69" s="66">
        <f>SUBTOTAL(9,J57:J67)</f>
        <v>283355930.51999998</v>
      </c>
      <c r="K69" s="66">
        <f t="shared" ref="K69:AK69" si="20">SUBTOTAL(9,K57:K67)</f>
        <v>289892841.87</v>
      </c>
      <c r="L69" s="66">
        <f t="shared" si="20"/>
        <v>274102221.93999994</v>
      </c>
      <c r="M69" s="66">
        <f t="shared" si="20"/>
        <v>327254899.01999998</v>
      </c>
      <c r="N69" s="66">
        <f t="shared" si="20"/>
        <v>269803919.59999996</v>
      </c>
      <c r="O69" s="66">
        <f t="shared" si="20"/>
        <v>279701152.60000002</v>
      </c>
      <c r="P69" s="66">
        <f t="shared" si="20"/>
        <v>447262948.78199995</v>
      </c>
      <c r="Q69" s="66">
        <f t="shared" si="20"/>
        <v>393405093.90999997</v>
      </c>
      <c r="R69" s="66">
        <f t="shared" si="20"/>
        <v>450099921.10000002</v>
      </c>
      <c r="S69" s="66">
        <f t="shared" si="20"/>
        <v>372606726.99200004</v>
      </c>
      <c r="T69" s="66">
        <f t="shared" si="20"/>
        <v>355602350.52999997</v>
      </c>
      <c r="U69" s="66">
        <f t="shared" si="20"/>
        <v>345209311.34699988</v>
      </c>
      <c r="V69" s="66">
        <f t="shared" si="20"/>
        <v>349879388.08042502</v>
      </c>
      <c r="W69" s="66">
        <f t="shared" si="20"/>
        <v>486402374.09599996</v>
      </c>
      <c r="X69" s="66">
        <f t="shared" si="20"/>
        <v>414491528.01144701</v>
      </c>
      <c r="Y69" s="66">
        <f t="shared" si="20"/>
        <v>410894159.91999996</v>
      </c>
      <c r="Z69" s="66">
        <f t="shared" si="20"/>
        <v>370065243.02999997</v>
      </c>
      <c r="AA69" s="66">
        <f t="shared" si="20"/>
        <v>396958903.79083991</v>
      </c>
      <c r="AB69" s="66">
        <f t="shared" si="20"/>
        <v>538230554.67299998</v>
      </c>
      <c r="AC69" s="66">
        <f t="shared" si="20"/>
        <v>508645174.80099988</v>
      </c>
      <c r="AD69" s="66">
        <f t="shared" si="20"/>
        <v>513683445.25342095</v>
      </c>
      <c r="AE69" s="66">
        <f t="shared" si="20"/>
        <v>457169639.66494203</v>
      </c>
      <c r="AF69" s="66">
        <f t="shared" si="20"/>
        <v>473889034.02062297</v>
      </c>
      <c r="AG69" s="66">
        <f t="shared" si="20"/>
        <v>524886660.07996905</v>
      </c>
      <c r="AH69" s="66">
        <f t="shared" si="20"/>
        <v>524276051.31639409</v>
      </c>
      <c r="AI69" s="66">
        <f>SUBTOTAL(9,AI57:AI67)</f>
        <v>551619083.71991801</v>
      </c>
      <c r="AJ69" s="66">
        <f t="shared" si="20"/>
        <v>582738884.10299993</v>
      </c>
      <c r="AK69" s="66">
        <f t="shared" si="20"/>
        <v>577839912.25023603</v>
      </c>
      <c r="AL69" s="66">
        <v>576509104.88235807</v>
      </c>
      <c r="AM69" s="66">
        <v>527754018.98544896</v>
      </c>
      <c r="AN69" s="66">
        <v>692556672.29947817</v>
      </c>
    </row>
    <row r="70" spans="1:40" ht="16.350000000000001" customHeight="1">
      <c r="B70" s="18"/>
      <c r="C70" s="39"/>
      <c r="D70" s="39"/>
    </row>
    <row r="71" spans="1:40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  <c r="AI71" s="19">
        <v>45839</v>
      </c>
      <c r="AJ71" s="19">
        <v>45870</v>
      </c>
      <c r="AK71" s="19">
        <v>45901</v>
      </c>
      <c r="AL71" s="19">
        <v>45931</v>
      </c>
      <c r="AM71" s="19">
        <v>45962</v>
      </c>
      <c r="AN71" s="19">
        <v>45992</v>
      </c>
    </row>
    <row r="72" spans="1:40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1">F57/F42</f>
        <v>0.78465885475159214</v>
      </c>
      <c r="G72" s="38">
        <f t="shared" si="21"/>
        <v>0.8261130125217061</v>
      </c>
      <c r="H72" s="38">
        <f t="shared" si="21"/>
        <v>0.9436661842189612</v>
      </c>
      <c r="I72" s="38">
        <f t="shared" si="21"/>
        <v>0.86947743802243416</v>
      </c>
      <c r="J72" s="38">
        <f t="shared" si="21"/>
        <v>1.0819934394536548</v>
      </c>
      <c r="K72" s="38">
        <f t="shared" si="21"/>
        <v>0.89267726118999258</v>
      </c>
      <c r="L72" s="38">
        <f t="shared" si="21"/>
        <v>0.9396037325303257</v>
      </c>
      <c r="M72" s="38">
        <f t="shared" si="21"/>
        <v>1.0543511344767802</v>
      </c>
      <c r="N72" s="38">
        <f t="shared" si="21"/>
        <v>0.90996757196560629</v>
      </c>
      <c r="O72" s="38">
        <f t="shared" si="21"/>
        <v>0.91623195212527697</v>
      </c>
      <c r="P72" s="38">
        <f t="shared" si="21"/>
        <v>1.2429050621276521</v>
      </c>
      <c r="Q72" s="38">
        <f t="shared" si="21"/>
        <v>0.83052649383226473</v>
      </c>
      <c r="R72" s="38">
        <f t="shared" si="21"/>
        <v>1.1233787230587085</v>
      </c>
      <c r="S72" s="38">
        <f t="shared" si="21"/>
        <v>1.0007249670564791</v>
      </c>
      <c r="T72" s="38">
        <f t="shared" si="21"/>
        <v>0.92904259206472184</v>
      </c>
      <c r="U72" s="38">
        <f t="shared" si="21"/>
        <v>0.92651006751743381</v>
      </c>
      <c r="V72" s="38">
        <f t="shared" si="21"/>
        <v>0.95358480925378197</v>
      </c>
      <c r="W72" s="38">
        <f t="shared" si="21"/>
        <v>1.0170657040877062</v>
      </c>
      <c r="X72" s="38">
        <f t="shared" si="21"/>
        <v>0.94847553661684725</v>
      </c>
      <c r="Y72" s="38">
        <f t="shared" si="21"/>
        <v>1.0750614397673024</v>
      </c>
      <c r="Z72" s="38">
        <f t="shared" si="21"/>
        <v>0.95885385243668808</v>
      </c>
      <c r="AA72" s="38">
        <f t="shared" si="21"/>
        <v>0.96404320459532722</v>
      </c>
      <c r="AB72" s="38">
        <f t="shared" si="21"/>
        <v>0.81637353348653374</v>
      </c>
      <c r="AC72" s="38">
        <f t="shared" ref="AC72:AK82" si="22">AC57/AC42</f>
        <v>0.96302975666002288</v>
      </c>
      <c r="AD72" s="38">
        <f t="shared" si="22"/>
        <v>0.87329747204030117</v>
      </c>
      <c r="AE72" s="38">
        <f t="shared" si="22"/>
        <v>0.9169585020904949</v>
      </c>
      <c r="AF72" s="38">
        <f t="shared" si="22"/>
        <v>0.92925409604695053</v>
      </c>
      <c r="AG72" s="38">
        <f t="shared" si="22"/>
        <v>0.8829729829271602</v>
      </c>
      <c r="AH72" s="38">
        <f t="shared" si="22"/>
        <v>0.96359129353332074</v>
      </c>
      <c r="AI72" s="38">
        <f t="shared" si="22"/>
        <v>0.89913390475258426</v>
      </c>
      <c r="AJ72" s="38">
        <f t="shared" si="22"/>
        <v>0.94724092024766993</v>
      </c>
      <c r="AK72" s="38">
        <f t="shared" si="22"/>
        <v>1.071879413273005</v>
      </c>
      <c r="AL72" s="38">
        <v>1.0147489349208487</v>
      </c>
      <c r="AM72" s="38">
        <v>1.0466269503886134</v>
      </c>
      <c r="AN72" s="38">
        <v>0.8956025981233432</v>
      </c>
    </row>
    <row r="73" spans="1:40" ht="16.350000000000001" customHeight="1">
      <c r="B73" s="40" t="s">
        <v>112</v>
      </c>
      <c r="C73" s="18" t="s">
        <v>66</v>
      </c>
      <c r="D73" s="39"/>
      <c r="E73" s="38">
        <f t="shared" ref="E73:T84" si="23">E58/E43</f>
        <v>0.27702456442669998</v>
      </c>
      <c r="F73" s="38">
        <f t="shared" si="23"/>
        <v>6.0153555664446627E-2</v>
      </c>
      <c r="G73" s="38">
        <f t="shared" si="23"/>
        <v>0.37849492090783998</v>
      </c>
      <c r="H73" s="38">
        <f t="shared" si="23"/>
        <v>0.3719022194903599</v>
      </c>
      <c r="I73" s="38">
        <f t="shared" si="23"/>
        <v>1.3438702133064402</v>
      </c>
      <c r="J73" s="38">
        <f t="shared" si="23"/>
        <v>0</v>
      </c>
      <c r="K73" s="38">
        <f t="shared" si="23"/>
        <v>0.69777322404807696</v>
      </c>
      <c r="L73" s="38">
        <f t="shared" si="23"/>
        <v>3.5476805376008461E-2</v>
      </c>
      <c r="M73" s="38">
        <f t="shared" si="23"/>
        <v>0.9137520715077645</v>
      </c>
      <c r="N73" s="38">
        <f t="shared" si="23"/>
        <v>0</v>
      </c>
      <c r="O73" s="38">
        <f t="shared" si="23"/>
        <v>0.89423613310257799</v>
      </c>
      <c r="P73" s="38">
        <f t="shared" si="23"/>
        <v>0.75649027801787672</v>
      </c>
      <c r="Q73" s="38">
        <f t="shared" si="23"/>
        <v>0.6838088765256054</v>
      </c>
      <c r="R73" s="38">
        <f t="shared" si="23"/>
        <v>0.44281798223360491</v>
      </c>
      <c r="S73" s="38">
        <f t="shared" si="23"/>
        <v>3.4723692792908056E-3</v>
      </c>
      <c r="T73" s="38">
        <f t="shared" si="23"/>
        <v>0.81254603814451221</v>
      </c>
      <c r="U73" s="38">
        <f t="shared" si="21"/>
        <v>9.1628304927113685E-2</v>
      </c>
      <c r="V73" s="38">
        <f t="shared" si="21"/>
        <v>0.66037803898048386</v>
      </c>
      <c r="W73" s="38">
        <f t="shared" si="21"/>
        <v>0.55575806987461507</v>
      </c>
      <c r="X73" s="38">
        <f t="shared" si="21"/>
        <v>0.80988032413950906</v>
      </c>
      <c r="Y73" s="38">
        <f t="shared" si="21"/>
        <v>0.7125001530829953</v>
      </c>
      <c r="Z73" s="38">
        <f t="shared" si="21"/>
        <v>0.39056968042541379</v>
      </c>
      <c r="AA73" s="38">
        <f t="shared" si="21"/>
        <v>0.5587060868562026</v>
      </c>
      <c r="AB73" s="38">
        <f t="shared" si="21"/>
        <v>1.593917767783062</v>
      </c>
      <c r="AC73" s="38">
        <f t="shared" ref="AC73:AE73" si="24">AC58/AC43</f>
        <v>0.44117550976351094</v>
      </c>
      <c r="AD73" s="38">
        <f t="shared" si="24"/>
        <v>0.62150747683102703</v>
      </c>
      <c r="AE73" s="38">
        <f t="shared" si="24"/>
        <v>3.9520499039278831E-2</v>
      </c>
      <c r="AF73" s="38">
        <f t="shared" si="22"/>
        <v>0.13048235850822931</v>
      </c>
      <c r="AG73" s="38">
        <f t="shared" si="22"/>
        <v>3.2272418070443929</v>
      </c>
      <c r="AH73" s="38">
        <f t="shared" si="22"/>
        <v>0.1139712505341731</v>
      </c>
      <c r="AI73" s="38">
        <f t="shared" si="22"/>
        <v>0.47868852999539879</v>
      </c>
      <c r="AJ73" s="38">
        <f t="shared" si="22"/>
        <v>0.76707109031787457</v>
      </c>
      <c r="AK73" s="38">
        <f t="shared" si="22"/>
        <v>0.27696818387543454</v>
      </c>
      <c r="AL73" s="38">
        <v>0.10556647766574288</v>
      </c>
      <c r="AM73" s="38">
        <v>1.8360124434504772</v>
      </c>
      <c r="AN73" s="38">
        <v>1.0721041636861504</v>
      </c>
    </row>
    <row r="74" spans="1:40" ht="16.350000000000001" customHeight="1">
      <c r="B74" s="40" t="s">
        <v>113</v>
      </c>
      <c r="C74" s="18" t="s">
        <v>66</v>
      </c>
      <c r="D74" s="39"/>
      <c r="E74" s="38">
        <f t="shared" si="23"/>
        <v>0.69940653712078349</v>
      </c>
      <c r="F74" s="38">
        <f t="shared" si="21"/>
        <v>0.65553892633435629</v>
      </c>
      <c r="G74" s="38">
        <f t="shared" si="21"/>
        <v>0.85998796774653374</v>
      </c>
      <c r="H74" s="38">
        <f t="shared" si="21"/>
        <v>0.97295420884186568</v>
      </c>
      <c r="I74" s="38">
        <f t="shared" si="21"/>
        <v>0.79930358857988071</v>
      </c>
      <c r="J74" s="38">
        <f t="shared" si="21"/>
        <v>0.73838333392167033</v>
      </c>
      <c r="K74" s="38">
        <f t="shared" si="21"/>
        <v>1.1228677513604932</v>
      </c>
      <c r="L74" s="38">
        <f t="shared" si="21"/>
        <v>1.1026468413581267</v>
      </c>
      <c r="M74" s="38">
        <f t="shared" si="21"/>
        <v>0.85958887153292618</v>
      </c>
      <c r="N74" s="38">
        <f t="shared" si="21"/>
        <v>0.80723405815800475</v>
      </c>
      <c r="O74" s="38">
        <f t="shared" si="21"/>
        <v>0.76370286471969817</v>
      </c>
      <c r="P74" s="38">
        <f t="shared" si="21"/>
        <v>0.83656383637926757</v>
      </c>
      <c r="Q74" s="38">
        <f t="shared" si="21"/>
        <v>0.74468382577287551</v>
      </c>
      <c r="R74" s="38">
        <f t="shared" si="21"/>
        <v>0.71924188589819338</v>
      </c>
      <c r="S74" s="38">
        <f t="shared" si="21"/>
        <v>1.0539857025429227</v>
      </c>
      <c r="T74" s="38">
        <f t="shared" si="21"/>
        <v>1.2614053487604799</v>
      </c>
      <c r="U74" s="38">
        <f t="shared" si="21"/>
        <v>0.78270320206541144</v>
      </c>
      <c r="V74" s="38">
        <f t="shared" si="21"/>
        <v>0.72299959247823709</v>
      </c>
      <c r="W74" s="38">
        <f t="shared" si="21"/>
        <v>0.5041359481645129</v>
      </c>
      <c r="X74" s="38">
        <f t="shared" si="21"/>
        <v>0.59839885171084173</v>
      </c>
      <c r="Y74" s="38">
        <f t="shared" si="21"/>
        <v>0.83558261390620225</v>
      </c>
      <c r="Z74" s="38">
        <f t="shared" si="21"/>
        <v>0.79432650793094361</v>
      </c>
      <c r="AA74" s="38">
        <f t="shared" si="21"/>
        <v>1.3428652080126922</v>
      </c>
      <c r="AB74" s="38">
        <f t="shared" si="21"/>
        <v>28.226416920341478</v>
      </c>
      <c r="AC74" s="38">
        <f t="shared" ref="AC74:AE74" si="25">AC59/AC44</f>
        <v>1.2248779154039966</v>
      </c>
      <c r="AD74" s="38">
        <f t="shared" si="25"/>
        <v>0.4920240517026121</v>
      </c>
      <c r="AE74" s="38">
        <f t="shared" si="25"/>
        <v>0.66861863557476242</v>
      </c>
      <c r="AF74" s="38">
        <f t="shared" si="22"/>
        <v>0.43926721996266499</v>
      </c>
      <c r="AG74" s="38">
        <f t="shared" si="22"/>
        <v>0.71492305858410776</v>
      </c>
      <c r="AH74" s="38">
        <f t="shared" si="22"/>
        <v>1.3788309615061571</v>
      </c>
      <c r="AI74" s="38">
        <f t="shared" si="22"/>
        <v>0.61728798760327741</v>
      </c>
      <c r="AJ74" s="38">
        <f t="shared" si="22"/>
        <v>0.80839356115485439</v>
      </c>
      <c r="AK74" s="38">
        <f t="shared" si="22"/>
        <v>0.77630080474723484</v>
      </c>
      <c r="AL74" s="38">
        <v>0.31829854813821251</v>
      </c>
      <c r="AM74" s="38">
        <v>0.5242983398468356</v>
      </c>
      <c r="AN74" s="38">
        <v>0.619364198997716</v>
      </c>
    </row>
    <row r="75" spans="1:40" ht="16.350000000000001" customHeight="1">
      <c r="B75" s="40" t="s">
        <v>114</v>
      </c>
      <c r="C75" s="18" t="s">
        <v>66</v>
      </c>
      <c r="D75" s="39"/>
      <c r="E75" s="38">
        <f t="shared" si="23"/>
        <v>0.19465300596686991</v>
      </c>
      <c r="F75" s="38">
        <f t="shared" si="21"/>
        <v>0.91190335170398595</v>
      </c>
      <c r="G75" s="38">
        <f t="shared" si="21"/>
        <v>2.7490649998660168</v>
      </c>
      <c r="H75" s="38">
        <f t="shared" si="21"/>
        <v>1.24717942979203</v>
      </c>
      <c r="I75" s="38">
        <f t="shared" si="21"/>
        <v>0.95853298924257135</v>
      </c>
      <c r="J75" s="38">
        <f t="shared" si="21"/>
        <v>0.74814512261971589</v>
      </c>
      <c r="K75" s="38">
        <f t="shared" si="21"/>
        <v>0.9849288855491477</v>
      </c>
      <c r="L75" s="38">
        <f t="shared" si="21"/>
        <v>0.8648252680129257</v>
      </c>
      <c r="M75" s="38">
        <f t="shared" si="21"/>
        <v>0.87453399025717005</v>
      </c>
      <c r="N75" s="38">
        <f t="shared" si="21"/>
        <v>1.0575760544527655</v>
      </c>
      <c r="O75" s="38">
        <f t="shared" si="21"/>
        <v>0.56682845946153737</v>
      </c>
      <c r="P75" s="38">
        <f t="shared" si="21"/>
        <v>1.4335851600256246</v>
      </c>
      <c r="Q75" s="38">
        <f t="shared" si="21"/>
        <v>0.19076512928809652</v>
      </c>
      <c r="R75" s="38">
        <f t="shared" si="21"/>
        <v>0.55848760387307217</v>
      </c>
      <c r="S75" s="38">
        <f t="shared" si="21"/>
        <v>0.71778209395667902</v>
      </c>
      <c r="T75" s="38">
        <f t="shared" si="21"/>
        <v>1.1324051017795098</v>
      </c>
      <c r="U75" s="38">
        <f t="shared" si="21"/>
        <v>1.0172827295726428</v>
      </c>
      <c r="V75" s="38">
        <f t="shared" si="21"/>
        <v>0.83432269574132778</v>
      </c>
      <c r="W75" s="38">
        <f t="shared" si="21"/>
        <v>0.88319675713353429</v>
      </c>
      <c r="X75" s="38">
        <f t="shared" si="21"/>
        <v>0.86839047770794175</v>
      </c>
      <c r="Y75" s="38">
        <f t="shared" si="21"/>
        <v>0.75567919256512384</v>
      </c>
      <c r="Z75" s="38">
        <f t="shared" si="21"/>
        <v>0.84510907644332323</v>
      </c>
      <c r="AA75" s="38">
        <f t="shared" si="21"/>
        <v>0.77750541203779977</v>
      </c>
      <c r="AB75" s="38">
        <f t="shared" si="21"/>
        <v>1.8652827104717897</v>
      </c>
      <c r="AC75" s="38">
        <f t="shared" ref="AC75:AE75" si="26">AC60/AC45</f>
        <v>0.20936494361225716</v>
      </c>
      <c r="AD75" s="38">
        <f t="shared" si="26"/>
        <v>0.76174458295239311</v>
      </c>
      <c r="AE75" s="38">
        <f t="shared" si="26"/>
        <v>0.57019092175141117</v>
      </c>
      <c r="AF75" s="38">
        <f t="shared" si="22"/>
        <v>0.95917662081334121</v>
      </c>
      <c r="AG75" s="38">
        <f t="shared" si="22"/>
        <v>1.0880590324408494</v>
      </c>
      <c r="AH75" s="38">
        <f t="shared" si="22"/>
        <v>0.81013364274690525</v>
      </c>
      <c r="AI75" s="38">
        <f t="shared" si="22"/>
        <v>0.69981902854605771</v>
      </c>
      <c r="AJ75" s="38">
        <f t="shared" si="22"/>
        <v>1.0229573624459507</v>
      </c>
      <c r="AK75" s="38">
        <f t="shared" si="22"/>
        <v>0.43495748475786156</v>
      </c>
      <c r="AL75" s="38">
        <v>1.5516975283528232</v>
      </c>
      <c r="AM75" s="38">
        <v>0.78528203500453919</v>
      </c>
      <c r="AN75" s="38">
        <v>1.6954423422487963</v>
      </c>
    </row>
    <row r="76" spans="1:40" ht="16.350000000000001" customHeight="1">
      <c r="B76" s="40" t="s">
        <v>85</v>
      </c>
      <c r="C76" s="18" t="s">
        <v>66</v>
      </c>
      <c r="D76" s="39"/>
      <c r="E76" s="38">
        <f t="shared" si="23"/>
        <v>0.17826369388812208</v>
      </c>
      <c r="F76" s="38">
        <f t="shared" si="21"/>
        <v>0.18429947335539787</v>
      </c>
      <c r="G76" s="38">
        <f t="shared" si="21"/>
        <v>29.496364075498104</v>
      </c>
      <c r="H76" s="38">
        <f t="shared" si="21"/>
        <v>0.35658252223011516</v>
      </c>
      <c r="I76" s="38">
        <f t="shared" si="21"/>
        <v>0.43437571975827244</v>
      </c>
      <c r="J76" s="38">
        <f t="shared" si="21"/>
        <v>0.46950422260876795</v>
      </c>
      <c r="K76" s="38">
        <f t="shared" si="21"/>
        <v>0.45511093822620474</v>
      </c>
      <c r="L76" s="38">
        <f t="shared" si="21"/>
        <v>0.35805395836189013</v>
      </c>
      <c r="M76" s="38">
        <f t="shared" si="21"/>
        <v>0.39732353054243619</v>
      </c>
      <c r="N76" s="38">
        <f t="shared" si="21"/>
        <v>1.4219792489223366</v>
      </c>
      <c r="O76" s="38">
        <f t="shared" si="21"/>
        <v>0.70011643075059693</v>
      </c>
      <c r="P76" s="38">
        <f t="shared" si="21"/>
        <v>0.77393392263138894</v>
      </c>
      <c r="Q76" s="38">
        <f t="shared" si="21"/>
        <v>0.25790556192402192</v>
      </c>
      <c r="R76" s="38">
        <f t="shared" si="21"/>
        <v>0.73815931203670937</v>
      </c>
      <c r="S76" s="38">
        <f t="shared" si="21"/>
        <v>1.2430313348942921</v>
      </c>
      <c r="T76" s="38">
        <f t="shared" si="21"/>
        <v>0.489271947549831</v>
      </c>
      <c r="U76" s="38">
        <f t="shared" si="21"/>
        <v>0.43748877901341432</v>
      </c>
      <c r="V76" s="38">
        <f t="shared" si="21"/>
        <v>0.53024011261462189</v>
      </c>
      <c r="W76" s="38">
        <f t="shared" si="21"/>
        <v>0.54267099790533746</v>
      </c>
      <c r="X76" s="38">
        <f t="shared" si="21"/>
        <v>0.57691341012932051</v>
      </c>
      <c r="Y76" s="38">
        <f t="shared" si="21"/>
        <v>0.87525272063028614</v>
      </c>
      <c r="Z76" s="38">
        <f t="shared" si="21"/>
        <v>0.65475922850191925</v>
      </c>
      <c r="AA76" s="38">
        <f t="shared" si="21"/>
        <v>0.46532915796817825</v>
      </c>
      <c r="AB76" s="38">
        <f t="shared" si="21"/>
        <v>1.1800042980587269</v>
      </c>
      <c r="AC76" s="38">
        <f t="shared" ref="AC76:AE76" si="27">AC61/AC46</f>
        <v>0.24520721393588932</v>
      </c>
      <c r="AD76" s="38">
        <f t="shared" si="27"/>
        <v>1.5237063575405616</v>
      </c>
      <c r="AE76" s="38">
        <f t="shared" si="27"/>
        <v>0.46511462867707543</v>
      </c>
      <c r="AF76" s="38">
        <f t="shared" si="22"/>
        <v>0.41404211291316856</v>
      </c>
      <c r="AG76" s="38">
        <f t="shared" si="22"/>
        <v>0.32984012493381465</v>
      </c>
      <c r="AH76" s="38">
        <f t="shared" si="22"/>
        <v>0.34827535027748324</v>
      </c>
      <c r="AI76" s="38">
        <f t="shared" si="22"/>
        <v>0.33013784303984234</v>
      </c>
      <c r="AJ76" s="38">
        <f t="shared" si="22"/>
        <v>0.42204493253674202</v>
      </c>
      <c r="AK76" s="38">
        <f t="shared" si="22"/>
        <v>0.49432544627258201</v>
      </c>
      <c r="AL76" s="38">
        <v>1.7205879448207109</v>
      </c>
      <c r="AM76" s="38">
        <v>1.2553807052368118</v>
      </c>
      <c r="AN76" s="38">
        <v>6.606472295485835</v>
      </c>
    </row>
    <row r="77" spans="1:40" ht="16.350000000000001" customHeight="1">
      <c r="B77" s="40" t="s">
        <v>115</v>
      </c>
      <c r="C77" s="18" t="s">
        <v>66</v>
      </c>
      <c r="D77" s="39"/>
      <c r="E77" s="38">
        <f t="shared" si="23"/>
        <v>0.16291842327352052</v>
      </c>
      <c r="F77" s="38">
        <f t="shared" si="21"/>
        <v>0.24805704680672072</v>
      </c>
      <c r="G77" s="38">
        <f t="shared" si="21"/>
        <v>0.48470759136848768</v>
      </c>
      <c r="H77" s="38">
        <f t="shared" si="21"/>
        <v>0.99811587778619459</v>
      </c>
      <c r="I77" s="38">
        <f t="shared" si="21"/>
        <v>0.37451601563489251</v>
      </c>
      <c r="J77" s="38">
        <f t="shared" si="21"/>
        <v>0.38141417624890034</v>
      </c>
      <c r="K77" s="38">
        <f t="shared" si="21"/>
        <v>0.39738063884046743</v>
      </c>
      <c r="L77" s="38">
        <f t="shared" si="21"/>
        <v>0.34298613725169425</v>
      </c>
      <c r="M77" s="38">
        <f t="shared" si="21"/>
        <v>0.40753624504623531</v>
      </c>
      <c r="N77" s="38">
        <f t="shared" si="21"/>
        <v>0.62854560299188122</v>
      </c>
      <c r="O77" s="38">
        <f t="shared" si="21"/>
        <v>0.37129679258828585</v>
      </c>
      <c r="P77" s="38">
        <f t="shared" si="21"/>
        <v>0.42992190363809774</v>
      </c>
      <c r="Q77" s="38">
        <f t="shared" si="21"/>
        <v>0.34258572819190186</v>
      </c>
      <c r="R77" s="38">
        <f t="shared" si="21"/>
        <v>0.22222776287084786</v>
      </c>
      <c r="S77" s="38">
        <f t="shared" si="21"/>
        <v>0.43123725821409031</v>
      </c>
      <c r="T77" s="38">
        <f t="shared" si="21"/>
        <v>0.59740772609738502</v>
      </c>
      <c r="U77" s="38">
        <f t="shared" si="21"/>
        <v>0.6016301671389539</v>
      </c>
      <c r="V77" s="38">
        <f t="shared" si="21"/>
        <v>0.46016217387824626</v>
      </c>
      <c r="W77" s="38">
        <f t="shared" si="21"/>
        <v>0.53306197422752455</v>
      </c>
      <c r="X77" s="38">
        <f t="shared" si="21"/>
        <v>1.1593882802076589</v>
      </c>
      <c r="Y77" s="38">
        <f t="shared" si="21"/>
        <v>1.0179597879503839</v>
      </c>
      <c r="Z77" s="38">
        <f t="shared" si="21"/>
        <v>0.53420511463353038</v>
      </c>
      <c r="AA77" s="38">
        <f t="shared" si="21"/>
        <v>0.39921769492571957</v>
      </c>
      <c r="AB77" s="38">
        <f t="shared" si="21"/>
        <v>0.57917547983323803</v>
      </c>
      <c r="AC77" s="38">
        <f t="shared" ref="AC77:AE77" si="28">AC62/AC47</f>
        <v>0.5002540281713812</v>
      </c>
      <c r="AD77" s="38">
        <f t="shared" si="28"/>
        <v>0.55479848594504688</v>
      </c>
      <c r="AE77" s="38">
        <f t="shared" si="28"/>
        <v>0.34132835157629104</v>
      </c>
      <c r="AF77" s="38">
        <f t="shared" si="22"/>
        <v>0.6677297593521444</v>
      </c>
      <c r="AG77" s="38">
        <f t="shared" si="22"/>
        <v>0.63750933302206969</v>
      </c>
      <c r="AH77" s="38">
        <f t="shared" si="22"/>
        <v>0.47799264512086792</v>
      </c>
      <c r="AI77" s="38">
        <f t="shared" si="22"/>
        <v>0.57159238489979425</v>
      </c>
      <c r="AJ77" s="38">
        <f t="shared" si="22"/>
        <v>0.7129207025210712</v>
      </c>
      <c r="AK77" s="38">
        <f t="shared" si="22"/>
        <v>0.91792290934729293</v>
      </c>
      <c r="AL77" s="38">
        <v>0.79320128232036313</v>
      </c>
      <c r="AM77" s="38">
        <v>0.95104821571622122</v>
      </c>
      <c r="AN77" s="38">
        <v>1.5324786682144191</v>
      </c>
    </row>
    <row r="78" spans="1:40" ht="16.350000000000001" customHeight="1">
      <c r="B78" s="40" t="s">
        <v>116</v>
      </c>
      <c r="C78" s="18" t="s">
        <v>66</v>
      </c>
      <c r="D78" s="39"/>
      <c r="E78" s="38">
        <f t="shared" si="23"/>
        <v>0.17439213057043754</v>
      </c>
      <c r="F78" s="38">
        <f t="shared" si="21"/>
        <v>0.86592960768151583</v>
      </c>
      <c r="G78" s="38">
        <f t="shared" si="21"/>
        <v>74.027270577475733</v>
      </c>
      <c r="H78" s="38">
        <f t="shared" si="21"/>
        <v>0.11748131142543229</v>
      </c>
      <c r="I78" s="38">
        <f t="shared" si="21"/>
        <v>0.43878472811182695</v>
      </c>
      <c r="J78" s="38">
        <f t="shared" si="21"/>
        <v>0.19188386026759438</v>
      </c>
      <c r="K78" s="38">
        <f t="shared" si="21"/>
        <v>4.3588957085386897E-2</v>
      </c>
      <c r="L78" s="38">
        <f t="shared" si="21"/>
        <v>6.0518268228451508E-2</v>
      </c>
      <c r="M78" s="38">
        <f t="shared" si="21"/>
        <v>0.17604028746322123</v>
      </c>
      <c r="N78" s="38">
        <f t="shared" si="21"/>
        <v>0.24667091904002861</v>
      </c>
      <c r="O78" s="38">
        <f t="shared" si="21"/>
        <v>0.27259432321606097</v>
      </c>
      <c r="P78" s="38">
        <f t="shared" si="21"/>
        <v>0.20274905687970016</v>
      </c>
      <c r="Q78" s="38">
        <f t="shared" si="21"/>
        <v>0.18974591196918605</v>
      </c>
      <c r="R78" s="38">
        <f t="shared" si="21"/>
        <v>0.14116908121183944</v>
      </c>
      <c r="S78" s="38">
        <f t="shared" si="21"/>
        <v>0.23203847095661678</v>
      </c>
      <c r="T78" s="38">
        <f t="shared" si="21"/>
        <v>0.19261492353622053</v>
      </c>
      <c r="U78" s="38">
        <f t="shared" si="21"/>
        <v>0.19046657216359825</v>
      </c>
      <c r="V78" s="38">
        <f t="shared" si="21"/>
        <v>0.19870426593342083</v>
      </c>
      <c r="W78" s="38">
        <f t="shared" si="21"/>
        <v>8.5017535277340739E-2</v>
      </c>
      <c r="X78" s="38">
        <f t="shared" si="21"/>
        <v>0.19022626861585298</v>
      </c>
      <c r="Y78" s="38">
        <f t="shared" si="21"/>
        <v>0.26079080104932395</v>
      </c>
      <c r="Z78" s="38">
        <f t="shared" si="21"/>
        <v>0.71156192499157156</v>
      </c>
      <c r="AA78" s="38">
        <f t="shared" si="21"/>
        <v>0.47449182179288812</v>
      </c>
      <c r="AB78" s="38">
        <f t="shared" si="21"/>
        <v>1.096913390034896</v>
      </c>
      <c r="AC78" s="38">
        <f t="shared" ref="AC78:AE78" si="29">AC63/AC48</f>
        <v>0.361969468709118</v>
      </c>
      <c r="AD78" s="38">
        <f t="shared" si="29"/>
        <v>0.95745943656981602</v>
      </c>
      <c r="AE78" s="38">
        <f t="shared" si="29"/>
        <v>0.34812809808353606</v>
      </c>
      <c r="AF78" s="38">
        <f t="shared" si="22"/>
        <v>0.52265721992024949</v>
      </c>
      <c r="AG78" s="38">
        <f t="shared" si="22"/>
        <v>0.49197214984027593</v>
      </c>
      <c r="AH78" s="38">
        <f t="shared" si="22"/>
        <v>0.73010578660140435</v>
      </c>
      <c r="AI78" s="38">
        <f t="shared" si="22"/>
        <v>0.33757882513579957</v>
      </c>
      <c r="AJ78" s="38">
        <f t="shared" si="22"/>
        <v>0.7160065286624262</v>
      </c>
      <c r="AK78" s="38">
        <f t="shared" si="22"/>
        <v>0.94101290309309549</v>
      </c>
      <c r="AL78" s="38">
        <v>5.6660700190537465</v>
      </c>
      <c r="AM78" s="38">
        <v>-13.13236480314724</v>
      </c>
      <c r="AN78" s="38">
        <v>-2.7491819635120396</v>
      </c>
    </row>
    <row r="79" spans="1:40" ht="16.350000000000001" customHeight="1">
      <c r="B79" s="40" t="s">
        <v>117</v>
      </c>
      <c r="C79" s="18" t="s">
        <v>66</v>
      </c>
      <c r="D79" s="39"/>
      <c r="E79" s="38">
        <f t="shared" si="23"/>
        <v>0</v>
      </c>
      <c r="F79" s="38">
        <f t="shared" si="21"/>
        <v>0</v>
      </c>
      <c r="G79" s="38">
        <f t="shared" si="21"/>
        <v>0</v>
      </c>
      <c r="H79" s="38">
        <f t="shared" si="21"/>
        <v>0</v>
      </c>
      <c r="I79" s="38">
        <f t="shared" si="21"/>
        <v>0</v>
      </c>
      <c r="J79" s="38">
        <f t="shared" si="21"/>
        <v>0</v>
      </c>
      <c r="K79" s="38">
        <f t="shared" si="21"/>
        <v>0</v>
      </c>
      <c r="L79" s="38">
        <f t="shared" si="21"/>
        <v>0.12792323852476484</v>
      </c>
      <c r="M79" s="38">
        <f t="shared" si="21"/>
        <v>1.9218768143240559</v>
      </c>
      <c r="N79" s="38">
        <f t="shared" si="21"/>
        <v>0.10452111982051412</v>
      </c>
      <c r="O79" s="38">
        <f t="shared" si="21"/>
        <v>0</v>
      </c>
      <c r="P79" s="38">
        <f t="shared" si="21"/>
        <v>0.62574896246562883</v>
      </c>
      <c r="Q79" s="38">
        <f t="shared" si="21"/>
        <v>0.7457503258362832</v>
      </c>
      <c r="R79" s="38">
        <f t="shared" si="21"/>
        <v>0</v>
      </c>
      <c r="S79" s="38">
        <f t="shared" si="21"/>
        <v>0</v>
      </c>
      <c r="T79" s="38">
        <f t="shared" si="21"/>
        <v>0.10377296073740795</v>
      </c>
      <c r="U79" s="38">
        <f t="shared" si="21"/>
        <v>0.13305308510593417</v>
      </c>
      <c r="V79" s="38">
        <f t="shared" si="21"/>
        <v>0.20329897895137755</v>
      </c>
      <c r="W79" s="38">
        <f t="shared" si="21"/>
        <v>2.8973615326899571</v>
      </c>
      <c r="X79" s="38">
        <f t="shared" si="21"/>
        <v>0.12657669773043209</v>
      </c>
      <c r="Y79" s="38">
        <f t="shared" si="21"/>
        <v>0.16248778881518766</v>
      </c>
      <c r="Z79" s="38">
        <f t="shared" si="21"/>
        <v>0.156517931753622</v>
      </c>
      <c r="AA79" s="38">
        <f t="shared" si="21"/>
        <v>0.14034620776388335</v>
      </c>
      <c r="AB79" s="38">
        <f t="shared" si="21"/>
        <v>0.14032875732754227</v>
      </c>
      <c r="AC79" s="38">
        <f t="shared" ref="AC79:AE79" si="30">AC64/AC49</f>
        <v>0.22271245611570395</v>
      </c>
      <c r="AD79" s="38">
        <f t="shared" si="30"/>
        <v>1.0416491368587475</v>
      </c>
      <c r="AE79" s="38">
        <f t="shared" si="30"/>
        <v>0.37756515484508701</v>
      </c>
      <c r="AF79" s="38">
        <f t="shared" si="22"/>
        <v>0</v>
      </c>
      <c r="AG79" s="38">
        <f t="shared" si="22"/>
        <v>0.19111625850269992</v>
      </c>
      <c r="AH79" s="38">
        <f t="shared" si="22"/>
        <v>0.48429794439705998</v>
      </c>
      <c r="AI79" s="38">
        <f t="shared" si="22"/>
        <v>0.35511509505896216</v>
      </c>
      <c r="AJ79" s="38">
        <f t="shared" si="22"/>
        <v>0</v>
      </c>
      <c r="AK79" s="38">
        <f t="shared" si="22"/>
        <v>0</v>
      </c>
      <c r="AL79" s="38">
        <v>0.49598345521932763</v>
      </c>
      <c r="AM79" s="38">
        <v>8.4827054476637256E-2</v>
      </c>
      <c r="AN79" s="38">
        <v>1.9894253785830558</v>
      </c>
    </row>
    <row r="80" spans="1:40" ht="16.350000000000001" customHeight="1">
      <c r="B80" s="40" t="s">
        <v>118</v>
      </c>
      <c r="C80" s="18" t="s">
        <v>66</v>
      </c>
      <c r="D80" s="39"/>
      <c r="E80" s="38">
        <f t="shared" si="23"/>
        <v>0</v>
      </c>
      <c r="F80" s="38">
        <f t="shared" si="21"/>
        <v>0</v>
      </c>
      <c r="G80" s="38">
        <f t="shared" si="21"/>
        <v>0</v>
      </c>
      <c r="H80" s="38">
        <f t="shared" si="21"/>
        <v>0</v>
      </c>
      <c r="I80" s="38">
        <f t="shared" si="21"/>
        <v>4.8473722443537079</v>
      </c>
      <c r="J80" s="38" t="e">
        <f t="shared" si="21"/>
        <v>#DIV/0!</v>
      </c>
      <c r="K80" s="38" t="e">
        <f t="shared" si="21"/>
        <v>#DIV/0!</v>
      </c>
      <c r="L80" s="38">
        <f t="shared" si="21"/>
        <v>0</v>
      </c>
      <c r="M80" s="38" t="e">
        <f t="shared" si="21"/>
        <v>#DIV/0!</v>
      </c>
      <c r="N80" s="38" t="e">
        <f t="shared" si="21"/>
        <v>#DIV/0!</v>
      </c>
      <c r="O80" s="38">
        <f t="shared" si="21"/>
        <v>0.53660939810187303</v>
      </c>
      <c r="P80" s="38">
        <f t="shared" si="21"/>
        <v>1.6002253780071702</v>
      </c>
      <c r="Q80" s="38">
        <f t="shared" si="21"/>
        <v>0</v>
      </c>
      <c r="R80" s="38">
        <f t="shared" si="21"/>
        <v>1.4516180715657605</v>
      </c>
      <c r="S80" s="38">
        <f t="shared" si="21"/>
        <v>0</v>
      </c>
      <c r="T80" s="38">
        <f t="shared" si="21"/>
        <v>0</v>
      </c>
      <c r="U80" s="38">
        <f t="shared" si="21"/>
        <v>0.78451229754794782</v>
      </c>
      <c r="V80" s="38">
        <f t="shared" si="21"/>
        <v>0</v>
      </c>
      <c r="W80" s="38">
        <f t="shared" si="21"/>
        <v>0.85762979910059245</v>
      </c>
      <c r="X80" s="38">
        <f t="shared" si="21"/>
        <v>0</v>
      </c>
      <c r="Y80" s="38">
        <f t="shared" si="21"/>
        <v>0</v>
      </c>
      <c r="Z80" s="38">
        <f t="shared" si="21"/>
        <v>0</v>
      </c>
      <c r="AA80" s="38">
        <f t="shared" si="21"/>
        <v>0</v>
      </c>
      <c r="AB80" s="38">
        <f t="shared" si="21"/>
        <v>0.13593492598905593</v>
      </c>
      <c r="AC80" s="38">
        <f t="shared" ref="AC80:AE80" si="31">AC65/AC50</f>
        <v>0</v>
      </c>
      <c r="AD80" s="38">
        <f t="shared" si="31"/>
        <v>0.69898618810282165</v>
      </c>
      <c r="AE80" s="38">
        <f t="shared" si="31"/>
        <v>0.83581242262988875</v>
      </c>
      <c r="AF80" s="38">
        <f t="shared" si="22"/>
        <v>1.1054192256354087</v>
      </c>
      <c r="AG80" s="38">
        <f t="shared" si="22"/>
        <v>1.1237585137349697</v>
      </c>
      <c r="AH80" s="38">
        <f t="shared" si="22"/>
        <v>1.0072081522890668</v>
      </c>
      <c r="AI80" s="38">
        <f t="shared" si="22"/>
        <v>0.31115739473638682</v>
      </c>
      <c r="AJ80" s="38">
        <f t="shared" si="22"/>
        <v>0.53926203769705883</v>
      </c>
      <c r="AK80" s="38">
        <f t="shared" si="22"/>
        <v>0</v>
      </c>
      <c r="AL80" s="38">
        <v>0.83734014548617552</v>
      </c>
      <c r="AM80" s="38">
        <v>0.54840243789013343</v>
      </c>
      <c r="AN80" s="38">
        <v>1.1450483291502491</v>
      </c>
    </row>
    <row r="81" spans="1:40" ht="16.350000000000001" customHeight="1">
      <c r="B81" s="40" t="s">
        <v>101</v>
      </c>
      <c r="C81" s="18" t="s">
        <v>66</v>
      </c>
      <c r="D81" s="39"/>
      <c r="E81" s="38" t="e">
        <f t="shared" si="23"/>
        <v>#DIV/0!</v>
      </c>
      <c r="F81" s="38" t="e">
        <f t="shared" si="21"/>
        <v>#DIV/0!</v>
      </c>
      <c r="G81" s="38" t="e">
        <f t="shared" si="21"/>
        <v>#DIV/0!</v>
      </c>
      <c r="H81" s="38" t="e">
        <f t="shared" si="21"/>
        <v>#DIV/0!</v>
      </c>
      <c r="I81" s="38">
        <f t="shared" si="21"/>
        <v>1.333602781609168</v>
      </c>
      <c r="J81" s="38">
        <f t="shared" si="21"/>
        <v>0.12781576232182662</v>
      </c>
      <c r="K81" s="38">
        <f t="shared" si="21"/>
        <v>1.175550199728898</v>
      </c>
      <c r="L81" s="38">
        <f t="shared" si="21"/>
        <v>0.73901016809418762</v>
      </c>
      <c r="M81" s="38">
        <f t="shared" si="21"/>
        <v>0</v>
      </c>
      <c r="N81" s="38">
        <f t="shared" si="21"/>
        <v>0</v>
      </c>
      <c r="O81" s="38">
        <f t="shared" si="21"/>
        <v>0</v>
      </c>
      <c r="P81" s="38">
        <f t="shared" si="21"/>
        <v>0</v>
      </c>
      <c r="Q81" s="38">
        <f t="shared" si="21"/>
        <v>2.1331674547128028</v>
      </c>
      <c r="R81" s="38">
        <f t="shared" si="21"/>
        <v>3.4041856418821483</v>
      </c>
      <c r="S81" s="38">
        <f t="shared" si="21"/>
        <v>0.66045674431954882</v>
      </c>
      <c r="T81" s="38">
        <f t="shared" si="21"/>
        <v>5.5108965426533292</v>
      </c>
      <c r="U81" s="38">
        <f t="shared" si="21"/>
        <v>0</v>
      </c>
      <c r="V81" s="38">
        <f t="shared" si="21"/>
        <v>5.3901730095689264E-2</v>
      </c>
      <c r="W81" s="38">
        <f t="shared" si="21"/>
        <v>0.31307976699842732</v>
      </c>
      <c r="X81" s="38">
        <f t="shared" si="21"/>
        <v>5.9132696730785701E-2</v>
      </c>
      <c r="Y81" s="38">
        <f t="shared" si="21"/>
        <v>0.1970301115366182</v>
      </c>
      <c r="Z81" s="38">
        <f t="shared" si="21"/>
        <v>0.39781738858246046</v>
      </c>
      <c r="AA81" s="38">
        <f t="shared" si="21"/>
        <v>3.7295560450707819</v>
      </c>
      <c r="AB81" s="38">
        <f t="shared" si="21"/>
        <v>41.569970296870558</v>
      </c>
      <c r="AC81" s="38">
        <f t="shared" ref="AC81:AE81" si="32">AC66/AC51</f>
        <v>1.272111972563821</v>
      </c>
      <c r="AD81" s="38">
        <f t="shared" si="32"/>
        <v>2.1177782828473593</v>
      </c>
      <c r="AE81" s="38">
        <f t="shared" si="32"/>
        <v>4.936894784217067</v>
      </c>
      <c r="AF81" s="38">
        <f t="shared" si="22"/>
        <v>2.1994939228422812</v>
      </c>
      <c r="AG81" s="38">
        <f t="shared" si="22"/>
        <v>17.485251198350891</v>
      </c>
      <c r="AH81" s="38">
        <f t="shared" si="22"/>
        <v>0.71883433681856257</v>
      </c>
      <c r="AI81" s="38">
        <f t="shared" si="22"/>
        <v>0.63533697493804031</v>
      </c>
      <c r="AJ81" s="38">
        <f t="shared" si="22"/>
        <v>1.0708824750842787</v>
      </c>
      <c r="AK81" s="38">
        <f t="shared" si="22"/>
        <v>1.2772086309059147</v>
      </c>
      <c r="AL81" s="38">
        <v>0</v>
      </c>
      <c r="AM81" s="38">
        <v>1.3269660931341611</v>
      </c>
      <c r="AN81" s="38">
        <v>7.9239403156137129</v>
      </c>
    </row>
    <row r="82" spans="1:40" ht="16.350000000000001" customHeight="1">
      <c r="B82" s="40" t="s">
        <v>86</v>
      </c>
      <c r="C82" s="18" t="s">
        <v>66</v>
      </c>
      <c r="D82" s="39"/>
      <c r="E82" s="38">
        <f t="shared" si="23"/>
        <v>0.78053290636077366</v>
      </c>
      <c r="F82" s="38">
        <f t="shared" si="21"/>
        <v>1.0835713626908889</v>
      </c>
      <c r="G82" s="38">
        <f t="shared" si="21"/>
        <v>1.1496085784635679</v>
      </c>
      <c r="H82" s="38">
        <f t="shared" si="21"/>
        <v>1.0795502588395613</v>
      </c>
      <c r="I82" s="38">
        <f t="shared" si="21"/>
        <v>1.1240773695337252</v>
      </c>
      <c r="J82" s="38">
        <f t="shared" si="21"/>
        <v>0.95460100211714516</v>
      </c>
      <c r="K82" s="38">
        <f t="shared" si="21"/>
        <v>0.99518540249069309</v>
      </c>
      <c r="L82" s="38">
        <f t="shared" si="21"/>
        <v>0.8428521305707688</v>
      </c>
      <c r="M82" s="38">
        <f t="shared" si="21"/>
        <v>1.0848289899327159</v>
      </c>
      <c r="N82" s="38">
        <f t="shared" si="21"/>
        <v>0.90366254461074702</v>
      </c>
      <c r="O82" s="38">
        <f t="shared" si="21"/>
        <v>0.79536816119099518</v>
      </c>
      <c r="P82" s="38">
        <f t="shared" si="21"/>
        <v>0.74570560524688423</v>
      </c>
      <c r="Q82" s="38">
        <f t="shared" si="21"/>
        <v>0.75839008940963193</v>
      </c>
      <c r="R82" s="38">
        <f t="shared" si="21"/>
        <v>0.87297055580959715</v>
      </c>
      <c r="S82" s="38">
        <f t="shared" si="21"/>
        <v>1.0412976183193012</v>
      </c>
      <c r="T82" s="38">
        <f t="shared" si="21"/>
        <v>1.2072017381501459</v>
      </c>
      <c r="U82" s="38">
        <f t="shared" si="21"/>
        <v>1.1350578716601638</v>
      </c>
      <c r="V82" s="38">
        <f t="shared" si="21"/>
        <v>1.0011973271535126</v>
      </c>
      <c r="W82" s="38">
        <f t="shared" si="21"/>
        <v>0.98497906728673645</v>
      </c>
      <c r="X82" s="38">
        <f t="shared" si="21"/>
        <v>1.0407991089011175</v>
      </c>
      <c r="Y82" s="38">
        <f t="shared" si="21"/>
        <v>1.2114540469250914</v>
      </c>
      <c r="Z82" s="38">
        <f t="shared" si="21"/>
        <v>0.93675850449474729</v>
      </c>
      <c r="AA82" s="38">
        <f t="shared" si="21"/>
        <v>0.71266092965262851</v>
      </c>
      <c r="AB82" s="38">
        <f t="shared" si="21"/>
        <v>0.71098617082560567</v>
      </c>
      <c r="AC82" s="38">
        <f t="shared" ref="AC82:AE82" si="33">AC67/AC52</f>
        <v>0.91079631473437328</v>
      </c>
      <c r="AD82" s="38">
        <f t="shared" si="33"/>
        <v>1.046846832503433</v>
      </c>
      <c r="AE82" s="38">
        <f t="shared" si="33"/>
        <v>1.0036334812905148</v>
      </c>
      <c r="AF82" s="38">
        <f t="shared" si="22"/>
        <v>1.2494431096072511</v>
      </c>
      <c r="AG82" s="38">
        <f t="shared" si="22"/>
        <v>1.1011702044823766</v>
      </c>
      <c r="AH82" s="38">
        <f t="shared" si="22"/>
        <v>0.96189437181362558</v>
      </c>
      <c r="AI82" s="38">
        <f t="shared" si="22"/>
        <v>0.917704941527</v>
      </c>
      <c r="AJ82" s="38">
        <f t="shared" si="22"/>
        <v>1.0998047371884287</v>
      </c>
      <c r="AK82" s="38">
        <f t="shared" si="22"/>
        <v>1.2495876451409069</v>
      </c>
      <c r="AL82" s="38">
        <v>1.0093140719103235</v>
      </c>
      <c r="AM82" s="38">
        <v>0.75374140767609776</v>
      </c>
      <c r="AN82" s="38">
        <v>0.7999372722153747</v>
      </c>
    </row>
    <row r="83" spans="1:40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</row>
    <row r="84" spans="1:40" ht="16.350000000000001" customHeight="1">
      <c r="B84" s="41" t="s">
        <v>108</v>
      </c>
      <c r="C84" s="18" t="s">
        <v>66</v>
      </c>
      <c r="D84" s="39"/>
      <c r="E84" s="72">
        <f t="shared" si="23"/>
        <v>0.69906997548499838</v>
      </c>
      <c r="F84" s="72">
        <f t="shared" ref="F84:AB84" si="34">F69/F54</f>
        <v>0.86196964735677128</v>
      </c>
      <c r="G84" s="72">
        <f t="shared" si="34"/>
        <v>2.3264510786005097</v>
      </c>
      <c r="H84" s="72">
        <f t="shared" si="34"/>
        <v>0.88505921843008439</v>
      </c>
      <c r="I84" s="72">
        <f t="shared" si="34"/>
        <v>0.85381679219568929</v>
      </c>
      <c r="J84" s="72">
        <f t="shared" si="34"/>
        <v>0.84932266076783125</v>
      </c>
      <c r="K84" s="72">
        <f t="shared" si="34"/>
        <v>0.81283522866094671</v>
      </c>
      <c r="L84" s="72">
        <f t="shared" si="34"/>
        <v>0.77939307718230189</v>
      </c>
      <c r="M84" s="72">
        <f t="shared" si="34"/>
        <v>1.031202381494166</v>
      </c>
      <c r="N84" s="72">
        <f t="shared" si="34"/>
        <v>0.84045177706260765</v>
      </c>
      <c r="O84" s="72">
        <f t="shared" si="34"/>
        <v>0.76330968233418173</v>
      </c>
      <c r="P84" s="72">
        <f t="shared" si="34"/>
        <v>0.97034844159068334</v>
      </c>
      <c r="Q84" s="72">
        <f t="shared" si="34"/>
        <v>0.75189611132641232</v>
      </c>
      <c r="R84" s="72">
        <f t="shared" si="34"/>
        <v>0.90903869635174783</v>
      </c>
      <c r="S84" s="72">
        <f t="shared" si="34"/>
        <v>0.91704550876969348</v>
      </c>
      <c r="T84" s="72">
        <f t="shared" si="34"/>
        <v>0.97263750829775686</v>
      </c>
      <c r="U84" s="72">
        <f t="shared" si="34"/>
        <v>0.86458517445870053</v>
      </c>
      <c r="V84" s="72">
        <f t="shared" si="34"/>
        <v>0.83232918440922765</v>
      </c>
      <c r="W84" s="72">
        <f t="shared" si="34"/>
        <v>1.0461539626241221</v>
      </c>
      <c r="X84" s="72">
        <f t="shared" si="34"/>
        <v>0.86480907504473237</v>
      </c>
      <c r="Y84" s="72">
        <f t="shared" si="34"/>
        <v>0.99491247509127456</v>
      </c>
      <c r="Z84" s="72">
        <f t="shared" si="34"/>
        <v>0.86102128970778691</v>
      </c>
      <c r="AA84" s="72">
        <f t="shared" si="34"/>
        <v>0.79396679854932883</v>
      </c>
      <c r="AB84" s="72">
        <f t="shared" si="34"/>
        <v>0.85584870022462967</v>
      </c>
      <c r="AC84" s="72">
        <f t="shared" ref="AC84:AK84" si="35">AC69/AC54</f>
        <v>0.84215536446357209</v>
      </c>
      <c r="AD84" s="72">
        <f t="shared" si="35"/>
        <v>0.95273054624153342</v>
      </c>
      <c r="AE84" s="72">
        <f t="shared" si="35"/>
        <v>0.88205741021389372</v>
      </c>
      <c r="AF84" s="72">
        <f t="shared" si="35"/>
        <v>0.93490170412654416</v>
      </c>
      <c r="AG84" s="72">
        <f t="shared" si="35"/>
        <v>0.9120249915287173</v>
      </c>
      <c r="AH84" s="72">
        <f t="shared" si="35"/>
        <v>0.87291319663126432</v>
      </c>
      <c r="AI84" s="72">
        <f t="shared" si="35"/>
        <v>0.81904414984749685</v>
      </c>
      <c r="AJ84" s="72">
        <f t="shared" si="35"/>
        <v>0.9051196851351867</v>
      </c>
      <c r="AK84" s="72">
        <f t="shared" si="35"/>
        <v>1.0075199614025414</v>
      </c>
      <c r="AL84" s="72">
        <v>0.99564694187526748</v>
      </c>
      <c r="AM84" s="72">
        <v>0.88079988760278882</v>
      </c>
      <c r="AN84" s="72">
        <v>0.98676187913288749</v>
      </c>
    </row>
    <row r="85" spans="1:40" ht="16.350000000000001" customHeight="1">
      <c r="B85" s="18"/>
      <c r="C85" s="39"/>
      <c r="D85" s="39"/>
    </row>
    <row r="86" spans="1:40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40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40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40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40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40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40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40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40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40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40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40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40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40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6">SUBTOTAL(9,F87:F97)</f>
        <v>0</v>
      </c>
      <c r="G99" s="66">
        <f t="shared" si="36"/>
        <v>0</v>
      </c>
      <c r="H99" s="66">
        <f t="shared" si="36"/>
        <v>0</v>
      </c>
      <c r="I99" s="66">
        <f t="shared" si="36"/>
        <v>0</v>
      </c>
      <c r="J99" s="66">
        <f>SUBTOTAL(9,J87:J97)</f>
        <v>0</v>
      </c>
      <c r="K99" s="66">
        <f t="shared" ref="K99:AB99" si="37">SUBTOTAL(9,K87:K97)</f>
        <v>0</v>
      </c>
      <c r="L99" s="66">
        <f t="shared" si="37"/>
        <v>0</v>
      </c>
      <c r="M99" s="66">
        <f t="shared" si="37"/>
        <v>0</v>
      </c>
      <c r="N99" s="66">
        <f t="shared" si="37"/>
        <v>0</v>
      </c>
      <c r="O99" s="66">
        <f t="shared" si="37"/>
        <v>0</v>
      </c>
      <c r="P99" s="66">
        <f t="shared" si="37"/>
        <v>0</v>
      </c>
      <c r="Q99" s="66">
        <f t="shared" si="37"/>
        <v>0</v>
      </c>
      <c r="R99" s="66">
        <f t="shared" si="37"/>
        <v>0</v>
      </c>
      <c r="S99" s="66">
        <f t="shared" si="37"/>
        <v>0</v>
      </c>
      <c r="T99" s="66">
        <f t="shared" si="37"/>
        <v>0</v>
      </c>
      <c r="U99" s="66">
        <f t="shared" si="37"/>
        <v>0</v>
      </c>
      <c r="V99" s="66">
        <f t="shared" si="37"/>
        <v>0</v>
      </c>
      <c r="W99" s="66">
        <f t="shared" si="37"/>
        <v>0</v>
      </c>
      <c r="X99" s="66">
        <f t="shared" si="37"/>
        <v>0</v>
      </c>
      <c r="Y99" s="66">
        <f t="shared" si="37"/>
        <v>0</v>
      </c>
      <c r="Z99" s="66">
        <f t="shared" si="37"/>
        <v>0</v>
      </c>
      <c r="AA99" s="66">
        <f t="shared" si="37"/>
        <v>0</v>
      </c>
      <c r="AB99" s="66">
        <f t="shared" si="37"/>
        <v>0</v>
      </c>
      <c r="AC99" s="67"/>
    </row>
    <row r="100" spans="1:40" ht="16.350000000000001" customHeight="1">
      <c r="B100" s="18"/>
      <c r="C100" s="39"/>
      <c r="D100" s="39"/>
    </row>
    <row r="101" spans="1:40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  <c r="AI101" s="19">
        <v>45839</v>
      </c>
      <c r="AJ101" s="19">
        <v>45870</v>
      </c>
      <c r="AK101" s="19">
        <v>45901</v>
      </c>
      <c r="AL101" s="19">
        <v>45931</v>
      </c>
      <c r="AM101" s="19">
        <v>45962</v>
      </c>
      <c r="AN101" s="19">
        <v>45992</v>
      </c>
    </row>
    <row r="102" spans="1:40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8">F42-F57</f>
        <v>30123053.931000024</v>
      </c>
      <c r="G102" s="64">
        <f t="shared" si="38"/>
        <v>26034761.506115004</v>
      </c>
      <c r="H102" s="64">
        <f t="shared" si="38"/>
        <v>7730072.6111817658</v>
      </c>
      <c r="I102" s="64">
        <f t="shared" si="38"/>
        <v>19252904.468720064</v>
      </c>
      <c r="J102" s="64">
        <f t="shared" si="38"/>
        <v>-12360463.98695004</v>
      </c>
      <c r="K102" s="64">
        <f t="shared" si="38"/>
        <v>17834345.532485038</v>
      </c>
      <c r="L102" s="64">
        <f t="shared" si="38"/>
        <v>10308229.159175068</v>
      </c>
      <c r="M102" s="64">
        <f t="shared" si="38"/>
        <v>-8538655.8473039865</v>
      </c>
      <c r="N102" s="64">
        <f t="shared" si="38"/>
        <v>14433192.020730048</v>
      </c>
      <c r="O102" s="64">
        <f t="shared" si="38"/>
        <v>14247648.869100034</v>
      </c>
      <c r="P102" s="64">
        <f t="shared" si="38"/>
        <v>-47149631.924574912</v>
      </c>
      <c r="Q102" s="64">
        <f t="shared" si="38"/>
        <v>36939559.517670065</v>
      </c>
      <c r="R102" s="64">
        <f t="shared" si="38"/>
        <v>-24465514.895479977</v>
      </c>
      <c r="S102" s="64">
        <f t="shared" si="38"/>
        <v>-127544.09322997928</v>
      </c>
      <c r="T102" s="64">
        <f t="shared" si="38"/>
        <v>12472120.200920016</v>
      </c>
      <c r="U102" s="64">
        <f t="shared" si="38"/>
        <v>14251847.676000059</v>
      </c>
      <c r="V102" s="64">
        <f t="shared" si="38"/>
        <v>9356512.6741679609</v>
      </c>
      <c r="W102" s="64">
        <f t="shared" si="38"/>
        <v>-3810571.3559579849</v>
      </c>
      <c r="X102" s="64">
        <f t="shared" si="38"/>
        <v>12167937.957286924</v>
      </c>
      <c r="Y102" s="64">
        <f t="shared" si="38"/>
        <v>-16216842.492424577</v>
      </c>
      <c r="Z102" s="64">
        <f t="shared" si="38"/>
        <v>9215845.9388500154</v>
      </c>
      <c r="AA102" s="64">
        <f t="shared" si="38"/>
        <v>8540757.2973700464</v>
      </c>
      <c r="AB102" s="64">
        <f t="shared" si="38"/>
        <v>51067857.846615016</v>
      </c>
      <c r="AC102" s="64">
        <f t="shared" ref="AC102:AK112" si="39">AC42-AC57</f>
        <v>9251726.8358473182</v>
      </c>
      <c r="AD102" s="64">
        <f t="shared" si="39"/>
        <v>30675526.328603894</v>
      </c>
      <c r="AE102" s="64">
        <f t="shared" si="39"/>
        <v>19085477.284696877</v>
      </c>
      <c r="AF102" s="64">
        <f t="shared" si="39"/>
        <v>18149033.81772095</v>
      </c>
      <c r="AG102" s="64">
        <f t="shared" si="39"/>
        <v>35770494.276655972</v>
      </c>
      <c r="AH102" s="64">
        <f t="shared" si="39"/>
        <v>11410172.323338747</v>
      </c>
      <c r="AI102" s="64">
        <f t="shared" si="39"/>
        <v>35266364.113934875</v>
      </c>
      <c r="AJ102" s="64">
        <f t="shared" si="39"/>
        <v>18247597.782290101</v>
      </c>
      <c r="AK102" s="64">
        <f t="shared" si="39"/>
        <v>-23641350.463244975</v>
      </c>
      <c r="AL102" s="64">
        <v>-4959896.536493957</v>
      </c>
      <c r="AM102" s="64">
        <v>-14598329.257440984</v>
      </c>
      <c r="AN102" s="64">
        <v>36248357.47384274</v>
      </c>
    </row>
    <row r="103" spans="1:40" ht="16.350000000000001" customHeight="1">
      <c r="B103" s="40" t="s">
        <v>112</v>
      </c>
      <c r="C103" s="39" t="s">
        <v>119</v>
      </c>
      <c r="D103" s="39"/>
      <c r="E103" s="64">
        <f t="shared" ref="E103:T112" si="40">E43-E58</f>
        <v>512884.00399999996</v>
      </c>
      <c r="F103" s="64">
        <f t="shared" si="40"/>
        <v>161397.17199999999</v>
      </c>
      <c r="G103" s="64">
        <f t="shared" si="40"/>
        <v>1100724.0750000002</v>
      </c>
      <c r="H103" s="64">
        <f t="shared" si="40"/>
        <v>466736.86100000003</v>
      </c>
      <c r="I103" s="64">
        <f t="shared" si="40"/>
        <v>-50048.388000000268</v>
      </c>
      <c r="J103" s="64">
        <f t="shared" si="40"/>
        <v>-315002.26900000125</v>
      </c>
      <c r="K103" s="64">
        <f t="shared" si="40"/>
        <v>22717.688000000082</v>
      </c>
      <c r="L103" s="64">
        <f t="shared" si="40"/>
        <v>51294.253999999724</v>
      </c>
      <c r="M103" s="64">
        <f t="shared" si="40"/>
        <v>6181.8590000009572</v>
      </c>
      <c r="N103" s="64">
        <f t="shared" si="40"/>
        <v>433890.46700000018</v>
      </c>
      <c r="O103" s="64">
        <f t="shared" si="40"/>
        <v>63172.676999999676</v>
      </c>
      <c r="P103" s="64">
        <f t="shared" si="40"/>
        <v>147001.80700000038</v>
      </c>
      <c r="Q103" s="64">
        <f t="shared" si="40"/>
        <v>179060.55600000033</v>
      </c>
      <c r="R103" s="64">
        <f t="shared" si="40"/>
        <v>294856.22400000086</v>
      </c>
      <c r="S103" s="64">
        <f t="shared" si="40"/>
        <v>571105.72800000012</v>
      </c>
      <c r="T103" s="64">
        <f t="shared" si="40"/>
        <v>92039.47199999867</v>
      </c>
      <c r="U103" s="64">
        <f t="shared" si="38"/>
        <v>41343.126999999695</v>
      </c>
      <c r="V103" s="64">
        <f t="shared" si="38"/>
        <v>29615.485000000219</v>
      </c>
      <c r="W103" s="64">
        <f t="shared" si="38"/>
        <v>55894.966999999247</v>
      </c>
      <c r="X103" s="64">
        <f t="shared" si="38"/>
        <v>20480.05099999893</v>
      </c>
      <c r="Y103" s="64">
        <f t="shared" si="38"/>
        <v>28922.204000000143</v>
      </c>
      <c r="Z103" s="64">
        <f t="shared" si="38"/>
        <v>339670.05900000036</v>
      </c>
      <c r="AA103" s="64">
        <f t="shared" si="38"/>
        <v>493491.60106000025</v>
      </c>
      <c r="AB103" s="64">
        <f t="shared" si="38"/>
        <v>-383938.16669999983</v>
      </c>
      <c r="AC103" s="64">
        <f t="shared" ref="AC103:AE103" si="41">AC43-AC58</f>
        <v>375822.17399999988</v>
      </c>
      <c r="AD103" s="64">
        <f t="shared" si="41"/>
        <v>230371.58999999985</v>
      </c>
      <c r="AE103" s="64">
        <f t="shared" si="41"/>
        <v>1225495.1231209999</v>
      </c>
      <c r="AF103" s="64">
        <f t="shared" si="39"/>
        <v>214736.58814699983</v>
      </c>
      <c r="AG103" s="64">
        <f t="shared" si="39"/>
        <v>-268724.07121399743</v>
      </c>
      <c r="AH103" s="64">
        <f t="shared" si="39"/>
        <v>91315.233999999706</v>
      </c>
      <c r="AI103" s="64">
        <f t="shared" si="39"/>
        <v>81218.630014000461</v>
      </c>
      <c r="AJ103" s="64">
        <f t="shared" si="39"/>
        <v>36243.169999998994</v>
      </c>
      <c r="AK103" s="64">
        <f t="shared" si="39"/>
        <v>218678.13459199946</v>
      </c>
      <c r="AL103" s="64">
        <v>791592.70768400014</v>
      </c>
      <c r="AM103" s="64">
        <v>-586476.50357599836</v>
      </c>
      <c r="AN103" s="64">
        <v>-86572.177931999788</v>
      </c>
    </row>
    <row r="104" spans="1:40" ht="16.350000000000001" customHeight="1">
      <c r="B104" s="40" t="s">
        <v>113</v>
      </c>
      <c r="C104" s="39" t="s">
        <v>119</v>
      </c>
      <c r="D104" s="39"/>
      <c r="E104" s="64">
        <f t="shared" si="40"/>
        <v>427313.44951000006</v>
      </c>
      <c r="F104" s="64">
        <f t="shared" si="38"/>
        <v>424173.26300000004</v>
      </c>
      <c r="G104" s="64">
        <f t="shared" si="38"/>
        <v>120173.28902999999</v>
      </c>
      <c r="H104" s="64">
        <f t="shared" si="38"/>
        <v>16843.922724999953</v>
      </c>
      <c r="I104" s="64">
        <f t="shared" si="38"/>
        <v>112083.46846499998</v>
      </c>
      <c r="J104" s="64">
        <f t="shared" si="38"/>
        <v>170702.36064999993</v>
      </c>
      <c r="K104" s="64">
        <f t="shared" si="38"/>
        <v>-178617.4021399999</v>
      </c>
      <c r="L104" s="64">
        <f t="shared" si="38"/>
        <v>-48825.067630000063</v>
      </c>
      <c r="M104" s="64">
        <f t="shared" si="38"/>
        <v>74314.758944999892</v>
      </c>
      <c r="N104" s="64">
        <f t="shared" si="38"/>
        <v>102062.13151500007</v>
      </c>
      <c r="O104" s="64">
        <f t="shared" si="38"/>
        <v>257239.49145499989</v>
      </c>
      <c r="P104" s="64">
        <f t="shared" si="38"/>
        <v>182122.86740999995</v>
      </c>
      <c r="Q104" s="64">
        <f t="shared" si="38"/>
        <v>278286.7511420002</v>
      </c>
      <c r="R104" s="64">
        <f t="shared" si="38"/>
        <v>378075.39395600022</v>
      </c>
      <c r="S104" s="64">
        <f t="shared" si="38"/>
        <v>-44136.837243999937</v>
      </c>
      <c r="T104" s="64">
        <f t="shared" si="38"/>
        <v>-179029.25292</v>
      </c>
      <c r="U104" s="64">
        <f t="shared" si="38"/>
        <v>132538.15299999993</v>
      </c>
      <c r="V104" s="64">
        <f t="shared" si="38"/>
        <v>163179.23901599995</v>
      </c>
      <c r="W104" s="64">
        <f t="shared" si="38"/>
        <v>346417.2231820001</v>
      </c>
      <c r="X104" s="64">
        <f t="shared" si="38"/>
        <v>276105.88963799999</v>
      </c>
      <c r="Y104" s="64">
        <f t="shared" si="38"/>
        <v>110735.84142600012</v>
      </c>
      <c r="Z104" s="64">
        <f t="shared" si="38"/>
        <v>175662.58866800007</v>
      </c>
      <c r="AA104" s="64">
        <f t="shared" si="38"/>
        <v>-379347.91056600004</v>
      </c>
      <c r="AB104" s="64">
        <f t="shared" si="38"/>
        <v>-42957495.176685989</v>
      </c>
      <c r="AC104" s="64">
        <f t="shared" ref="AC104:AE104" si="42">AC44-AC59</f>
        <v>-344276.22687599994</v>
      </c>
      <c r="AD104" s="64">
        <f t="shared" si="42"/>
        <v>753116.96514799993</v>
      </c>
      <c r="AE104" s="64">
        <f t="shared" si="42"/>
        <v>314746.38138200005</v>
      </c>
      <c r="AF104" s="64">
        <f t="shared" si="39"/>
        <v>455949.96092599991</v>
      </c>
      <c r="AG104" s="64">
        <f t="shared" si="39"/>
        <v>268891.3906540001</v>
      </c>
      <c r="AH104" s="64">
        <f t="shared" si="39"/>
        <v>-290725.42553299991</v>
      </c>
      <c r="AI104" s="64">
        <f t="shared" si="39"/>
        <v>524234.35648899991</v>
      </c>
      <c r="AJ104" s="64">
        <f t="shared" si="39"/>
        <v>190469.61126000003</v>
      </c>
      <c r="AK104" s="64">
        <f t="shared" si="39"/>
        <v>204502.06257200008</v>
      </c>
      <c r="AL104" s="64">
        <v>780966.41547699994</v>
      </c>
      <c r="AM104" s="64">
        <v>535398.00444500009</v>
      </c>
      <c r="AN104" s="64">
        <v>664654.16928200005</v>
      </c>
    </row>
    <row r="105" spans="1:40" ht="16.350000000000001" customHeight="1">
      <c r="B105" s="40" t="s">
        <v>114</v>
      </c>
      <c r="C105" s="39" t="s">
        <v>119</v>
      </c>
      <c r="D105" s="39"/>
      <c r="E105" s="64">
        <f t="shared" si="40"/>
        <v>22799074.895964999</v>
      </c>
      <c r="F105" s="64">
        <f t="shared" si="38"/>
        <v>1755073.2760000005</v>
      </c>
      <c r="G105" s="64">
        <f t="shared" si="38"/>
        <v>-30692074.656194996</v>
      </c>
      <c r="H105" s="64">
        <f t="shared" si="38"/>
        <v>-2681424.6171869468</v>
      </c>
      <c r="I105" s="64">
        <f t="shared" si="38"/>
        <v>447452.03042500094</v>
      </c>
      <c r="J105" s="64">
        <f t="shared" si="38"/>
        <v>3041143.8889450021</v>
      </c>
      <c r="K105" s="64">
        <f t="shared" si="38"/>
        <v>185093.44266000018</v>
      </c>
      <c r="L105" s="64">
        <f t="shared" si="38"/>
        <v>1568356.4981649984</v>
      </c>
      <c r="M105" s="64">
        <f t="shared" si="38"/>
        <v>1387001.650890002</v>
      </c>
      <c r="N105" s="64">
        <f t="shared" si="38"/>
        <v>-694054.71761999652</v>
      </c>
      <c r="O105" s="64">
        <f t="shared" si="38"/>
        <v>7433837.5770499986</v>
      </c>
      <c r="P105" s="64">
        <f t="shared" si="38"/>
        <v>-9519493.9413150027</v>
      </c>
      <c r="Q105" s="64">
        <f t="shared" si="38"/>
        <v>20853146.800049998</v>
      </c>
      <c r="R105" s="64">
        <f t="shared" si="38"/>
        <v>11965103.976049999</v>
      </c>
      <c r="S105" s="64">
        <f t="shared" si="38"/>
        <v>5549377.7925499994</v>
      </c>
      <c r="T105" s="64">
        <f t="shared" si="38"/>
        <v>-1845046.2389500011</v>
      </c>
      <c r="U105" s="64">
        <f t="shared" si="38"/>
        <v>-242980.2444000002</v>
      </c>
      <c r="V105" s="64">
        <f t="shared" si="38"/>
        <v>2303557.2473500017</v>
      </c>
      <c r="W105" s="64">
        <f t="shared" si="38"/>
        <v>1754612.9865400009</v>
      </c>
      <c r="X105" s="64">
        <f t="shared" si="38"/>
        <v>2100557.117881</v>
      </c>
      <c r="Y105" s="64">
        <f t="shared" si="38"/>
        <v>3326356.4714499973</v>
      </c>
      <c r="Z105" s="64">
        <f t="shared" si="38"/>
        <v>2435105.0936000012</v>
      </c>
      <c r="AA105" s="64">
        <f t="shared" si="38"/>
        <v>4900618.3038400002</v>
      </c>
      <c r="AB105" s="64">
        <f t="shared" si="38"/>
        <v>-23729689.059535991</v>
      </c>
      <c r="AC105" s="64">
        <f t="shared" ref="AC105:AE105" si="43">AC45-AC60</f>
        <v>23722196.184149995</v>
      </c>
      <c r="AD105" s="64">
        <f t="shared" si="43"/>
        <v>5910534.3210000023</v>
      </c>
      <c r="AE105" s="64">
        <f t="shared" si="43"/>
        <v>10226222.760715999</v>
      </c>
      <c r="AF105" s="64">
        <f t="shared" si="39"/>
        <v>698098.31156100146</v>
      </c>
      <c r="AG105" s="64">
        <f t="shared" si="39"/>
        <v>-1436949.319752004</v>
      </c>
      <c r="AH105" s="64">
        <f t="shared" si="39"/>
        <v>3560575.5475930013</v>
      </c>
      <c r="AI105" s="64">
        <f t="shared" si="39"/>
        <v>5973274.4261680003</v>
      </c>
      <c r="AJ105" s="64">
        <f t="shared" si="39"/>
        <v>-421461.04223100096</v>
      </c>
      <c r="AK105" s="64">
        <f t="shared" si="39"/>
        <v>8518793.0245079994</v>
      </c>
      <c r="AL105" s="64">
        <v>-10044185.976212002</v>
      </c>
      <c r="AM105" s="64">
        <v>3381785.7581949979</v>
      </c>
      <c r="AN105" s="64">
        <v>-19717584.076304007</v>
      </c>
    </row>
    <row r="106" spans="1:40" ht="16.350000000000001" customHeight="1">
      <c r="B106" s="40" t="s">
        <v>85</v>
      </c>
      <c r="C106" s="39" t="s">
        <v>119</v>
      </c>
      <c r="D106" s="39"/>
      <c r="E106" s="64">
        <f t="shared" si="40"/>
        <v>3690457.9044000003</v>
      </c>
      <c r="F106" s="64">
        <f t="shared" si="38"/>
        <v>2779401.2199999997</v>
      </c>
      <c r="G106" s="64">
        <f t="shared" si="38"/>
        <v>-321525873.24289995</v>
      </c>
      <c r="H106" s="64">
        <f t="shared" si="38"/>
        <v>12801862.858999997</v>
      </c>
      <c r="I106" s="64">
        <f t="shared" si="38"/>
        <v>15668923.878000002</v>
      </c>
      <c r="J106" s="64">
        <f t="shared" si="38"/>
        <v>18205294.004999999</v>
      </c>
      <c r="K106" s="64">
        <f t="shared" si="38"/>
        <v>20119622.883520003</v>
      </c>
      <c r="L106" s="64">
        <f t="shared" si="38"/>
        <v>21217895.743999995</v>
      </c>
      <c r="M106" s="64">
        <f t="shared" si="38"/>
        <v>14931341.142999992</v>
      </c>
      <c r="N106" s="64">
        <f t="shared" si="38"/>
        <v>-3558184.6753000002</v>
      </c>
      <c r="O106" s="64">
        <f t="shared" si="38"/>
        <v>1762590.7478999998</v>
      </c>
      <c r="P106" s="64">
        <f t="shared" si="38"/>
        <v>1113800.6587999994</v>
      </c>
      <c r="Q106" s="64">
        <f t="shared" si="38"/>
        <v>3920508.5580000002</v>
      </c>
      <c r="R106" s="64">
        <f t="shared" si="38"/>
        <v>1640543.1009999998</v>
      </c>
      <c r="S106" s="64">
        <f t="shared" si="38"/>
        <v>-844082.08499999996</v>
      </c>
      <c r="T106" s="64">
        <f t="shared" si="38"/>
        <v>5631182.6683</v>
      </c>
      <c r="U106" s="64">
        <f t="shared" si="38"/>
        <v>14429315.492999997</v>
      </c>
      <c r="V106" s="64">
        <f t="shared" si="38"/>
        <v>14352957.804200005</v>
      </c>
      <c r="W106" s="64">
        <f t="shared" si="38"/>
        <v>15893126.311499994</v>
      </c>
      <c r="X106" s="64">
        <f t="shared" si="38"/>
        <v>15929732.100299992</v>
      </c>
      <c r="Y106" s="64">
        <f t="shared" si="38"/>
        <v>2809280.0922000036</v>
      </c>
      <c r="Z106" s="64">
        <f t="shared" si="38"/>
        <v>4246435.6629999997</v>
      </c>
      <c r="AA106" s="64">
        <f t="shared" si="38"/>
        <v>2981589.9290000005</v>
      </c>
      <c r="AB106" s="64">
        <f t="shared" si="38"/>
        <v>-631985.29088999983</v>
      </c>
      <c r="AC106" s="64">
        <f t="shared" ref="AC106:AE106" si="44">AC46-AC61</f>
        <v>3560299.4615000011</v>
      </c>
      <c r="AD106" s="64">
        <f t="shared" si="44"/>
        <v>-2266940.54</v>
      </c>
      <c r="AE106" s="64">
        <f t="shared" si="44"/>
        <v>5074063.8905309988</v>
      </c>
      <c r="AF106" s="64">
        <f t="shared" si="39"/>
        <v>11234688.614962997</v>
      </c>
      <c r="AG106" s="64">
        <f t="shared" si="39"/>
        <v>27860941.056956001</v>
      </c>
      <c r="AH106" s="64">
        <f t="shared" si="39"/>
        <v>29517250.678544</v>
      </c>
      <c r="AI106" s="64">
        <f t="shared" si="39"/>
        <v>33868954.920091003</v>
      </c>
      <c r="AJ106" s="64">
        <f t="shared" si="39"/>
        <v>25066504.117799997</v>
      </c>
      <c r="AK106" s="64">
        <f t="shared" si="39"/>
        <v>14975550.481277</v>
      </c>
      <c r="AL106" s="64">
        <v>-6296902.4529550001</v>
      </c>
      <c r="AM106" s="64">
        <v>-1509743.5067670001</v>
      </c>
      <c r="AN106" s="64">
        <v>-20141818.471485995</v>
      </c>
    </row>
    <row r="107" spans="1:40" ht="16.350000000000001" customHeight="1">
      <c r="B107" s="40" t="s">
        <v>115</v>
      </c>
      <c r="C107" s="39" t="s">
        <v>119</v>
      </c>
      <c r="D107" s="39"/>
      <c r="E107" s="64">
        <f t="shared" si="40"/>
        <v>8163872.407800002</v>
      </c>
      <c r="F107" s="64">
        <f t="shared" si="38"/>
        <v>5231647.027999999</v>
      </c>
      <c r="G107" s="64">
        <f t="shared" si="38"/>
        <v>3754226.0370000005</v>
      </c>
      <c r="H107" s="64">
        <f t="shared" si="38"/>
        <v>9990.8813000004739</v>
      </c>
      <c r="I107" s="64">
        <f t="shared" si="38"/>
        <v>4248269.0540000014</v>
      </c>
      <c r="J107" s="64">
        <f t="shared" si="38"/>
        <v>3925137.2749999999</v>
      </c>
      <c r="K107" s="64">
        <f t="shared" si="38"/>
        <v>3753108.0149400006</v>
      </c>
      <c r="L107" s="64">
        <f t="shared" si="38"/>
        <v>4629312.1620000005</v>
      </c>
      <c r="M107" s="64">
        <f t="shared" si="38"/>
        <v>3287258.0379000008</v>
      </c>
      <c r="N107" s="64">
        <f t="shared" si="38"/>
        <v>2169932.4323999989</v>
      </c>
      <c r="O107" s="64">
        <f t="shared" si="38"/>
        <v>5010043.2720000017</v>
      </c>
      <c r="P107" s="64">
        <f t="shared" si="38"/>
        <v>3624083.1090999995</v>
      </c>
      <c r="Q107" s="64">
        <f t="shared" si="38"/>
        <v>5161627.909</v>
      </c>
      <c r="R107" s="64">
        <f t="shared" si="38"/>
        <v>6376031.1696000006</v>
      </c>
      <c r="S107" s="64">
        <f t="shared" si="38"/>
        <v>3932358.9346999996</v>
      </c>
      <c r="T107" s="64">
        <f t="shared" si="38"/>
        <v>2636315.9166000001</v>
      </c>
      <c r="U107" s="64">
        <f t="shared" si="38"/>
        <v>2632729.2966999998</v>
      </c>
      <c r="V107" s="64">
        <f t="shared" si="38"/>
        <v>4615642.3235999998</v>
      </c>
      <c r="W107" s="64">
        <f t="shared" si="38"/>
        <v>4394832.5402230006</v>
      </c>
      <c r="X107" s="64">
        <f t="shared" si="38"/>
        <v>-1389651.4088279996</v>
      </c>
      <c r="Y107" s="64">
        <f t="shared" si="38"/>
        <v>-136437.8749870006</v>
      </c>
      <c r="Z107" s="64">
        <f t="shared" si="38"/>
        <v>3755150.4270200012</v>
      </c>
      <c r="AA107" s="64">
        <f t="shared" si="38"/>
        <v>5576960.4038300011</v>
      </c>
      <c r="AB107" s="64">
        <f t="shared" si="38"/>
        <v>4335314.4236500002</v>
      </c>
      <c r="AC107" s="64">
        <f t="shared" ref="AC107:AE107" si="45">AC47-AC62</f>
        <v>4866267.4124999987</v>
      </c>
      <c r="AD107" s="64">
        <f t="shared" si="45"/>
        <v>3182987.9695330011</v>
      </c>
      <c r="AE107" s="64">
        <f t="shared" si="45"/>
        <v>5224535.0745380009</v>
      </c>
      <c r="AF107" s="64">
        <f t="shared" si="39"/>
        <v>1958723.0906839999</v>
      </c>
      <c r="AG107" s="64">
        <f t="shared" si="39"/>
        <v>2146964.2014909997</v>
      </c>
      <c r="AH107" s="64">
        <f t="shared" si="39"/>
        <v>3793428.4099849998</v>
      </c>
      <c r="AI107" s="64">
        <f t="shared" si="39"/>
        <v>3368655.6174339987</v>
      </c>
      <c r="AJ107" s="64">
        <f t="shared" si="39"/>
        <v>2200321.2227000007</v>
      </c>
      <c r="AK107" s="64">
        <f t="shared" si="39"/>
        <v>472973.51256600022</v>
      </c>
      <c r="AL107" s="64">
        <v>1596334.2002809998</v>
      </c>
      <c r="AM107" s="64">
        <v>261784.32617899869</v>
      </c>
      <c r="AN107" s="64">
        <v>-2001820.0983799999</v>
      </c>
    </row>
    <row r="108" spans="1:40" ht="16.350000000000001" customHeight="1">
      <c r="B108" s="40" t="s">
        <v>116</v>
      </c>
      <c r="C108" s="39" t="s">
        <v>119</v>
      </c>
      <c r="D108" s="39"/>
      <c r="E108" s="64">
        <f t="shared" si="40"/>
        <v>1135310.5250000001</v>
      </c>
      <c r="F108" s="64">
        <f t="shared" si="38"/>
        <v>104209.554</v>
      </c>
      <c r="G108" s="64">
        <f t="shared" si="38"/>
        <v>-136634728.98599997</v>
      </c>
      <c r="H108" s="64">
        <f t="shared" si="38"/>
        <v>1003802.2699999999</v>
      </c>
      <c r="I108" s="64">
        <f t="shared" si="38"/>
        <v>1218278.0699999998</v>
      </c>
      <c r="J108" s="64">
        <f t="shared" si="38"/>
        <v>2573898.9479999999</v>
      </c>
      <c r="K108" s="64">
        <f t="shared" si="38"/>
        <v>3356535.6379999998</v>
      </c>
      <c r="L108" s="64">
        <f t="shared" si="38"/>
        <v>2228465.5360000003</v>
      </c>
      <c r="M108" s="64">
        <f t="shared" si="38"/>
        <v>1098389.9079999998</v>
      </c>
      <c r="N108" s="64">
        <f t="shared" si="38"/>
        <v>655478.11800000002</v>
      </c>
      <c r="O108" s="64">
        <f t="shared" si="38"/>
        <v>536652.23199999984</v>
      </c>
      <c r="P108" s="64">
        <f t="shared" si="38"/>
        <v>895406.98199999996</v>
      </c>
      <c r="Q108" s="64">
        <f t="shared" si="38"/>
        <v>1066196.8050000002</v>
      </c>
      <c r="R108" s="64">
        <f t="shared" si="38"/>
        <v>750523.6398</v>
      </c>
      <c r="S108" s="64">
        <f t="shared" si="38"/>
        <v>705929.1272000001</v>
      </c>
      <c r="T108" s="64">
        <f t="shared" si="38"/>
        <v>1733644.0470999996</v>
      </c>
      <c r="U108" s="64">
        <f t="shared" si="38"/>
        <v>4905618.4269999992</v>
      </c>
      <c r="V108" s="64">
        <f t="shared" si="38"/>
        <v>9033213.4009999987</v>
      </c>
      <c r="W108" s="64">
        <f t="shared" si="38"/>
        <v>11369335.408</v>
      </c>
      <c r="X108" s="64">
        <f t="shared" si="38"/>
        <v>5250384.6099999994</v>
      </c>
      <c r="Y108" s="64">
        <f t="shared" si="38"/>
        <v>3201017.1924999999</v>
      </c>
      <c r="Z108" s="64">
        <f t="shared" si="38"/>
        <v>492616.02629999979</v>
      </c>
      <c r="AA108" s="64">
        <f t="shared" si="38"/>
        <v>642950.17000000016</v>
      </c>
      <c r="AB108" s="64">
        <f t="shared" si="38"/>
        <v>-148792.01850000024</v>
      </c>
      <c r="AC108" s="64">
        <f t="shared" ref="AC108:AE108" si="46">AC48-AC63</f>
        <v>808322.16700000002</v>
      </c>
      <c r="AD108" s="64">
        <f t="shared" si="46"/>
        <v>52781.600000000093</v>
      </c>
      <c r="AE108" s="64">
        <f t="shared" si="46"/>
        <v>1454031.2058245793</v>
      </c>
      <c r="AF108" s="64">
        <f t="shared" si="39"/>
        <v>815222.09199999983</v>
      </c>
      <c r="AG108" s="64">
        <f t="shared" si="39"/>
        <v>889736.44999999984</v>
      </c>
      <c r="AH108" s="64">
        <f t="shared" si="39"/>
        <v>229353.33469999989</v>
      </c>
      <c r="AI108" s="64">
        <f t="shared" si="39"/>
        <v>1222683.6897</v>
      </c>
      <c r="AJ108" s="64">
        <f t="shared" si="39"/>
        <v>303363.8790999999</v>
      </c>
      <c r="AK108" s="64">
        <f t="shared" si="39"/>
        <v>27444.950000000012</v>
      </c>
      <c r="AL108" s="64">
        <v>-1406293.8788429999</v>
      </c>
      <c r="AM108" s="64">
        <v>-254048.76000000004</v>
      </c>
      <c r="AN108" s="64">
        <v>-1548659.7805599999</v>
      </c>
    </row>
    <row r="109" spans="1:40" ht="16.350000000000001" customHeight="1">
      <c r="B109" s="40" t="s">
        <v>117</v>
      </c>
      <c r="C109" s="39" t="s">
        <v>119</v>
      </c>
      <c r="D109" s="39"/>
      <c r="E109" s="64">
        <f t="shared" si="40"/>
        <v>26184761.219999999</v>
      </c>
      <c r="F109" s="64">
        <f t="shared" si="38"/>
        <v>23323610.340000004</v>
      </c>
      <c r="G109" s="64">
        <f t="shared" si="38"/>
        <v>25028535.920000002</v>
      </c>
      <c r="H109" s="64">
        <f t="shared" si="38"/>
        <v>24155079.960000001</v>
      </c>
      <c r="I109" s="64">
        <f t="shared" si="38"/>
        <v>18912950.099999998</v>
      </c>
      <c r="J109" s="64">
        <f t="shared" si="38"/>
        <v>21507028.940000001</v>
      </c>
      <c r="K109" s="64">
        <f t="shared" si="38"/>
        <v>22713823</v>
      </c>
      <c r="L109" s="64">
        <f t="shared" si="38"/>
        <v>20451563.880000003</v>
      </c>
      <c r="M109" s="64">
        <f t="shared" si="38"/>
        <v>-21105712.669999998</v>
      </c>
      <c r="N109" s="64">
        <f t="shared" si="38"/>
        <v>21418610.940000001</v>
      </c>
      <c r="O109" s="64">
        <f t="shared" si="38"/>
        <v>23424969.239999998</v>
      </c>
      <c r="P109" s="64">
        <f t="shared" si="38"/>
        <v>9270316.7400000021</v>
      </c>
      <c r="Q109" s="64">
        <f t="shared" si="38"/>
        <v>7500489.9599999972</v>
      </c>
      <c r="R109" s="64">
        <f t="shared" si="38"/>
        <v>27989389.800000001</v>
      </c>
      <c r="S109" s="64">
        <f t="shared" si="38"/>
        <v>29780046.239999998</v>
      </c>
      <c r="T109" s="64">
        <f t="shared" si="38"/>
        <v>25909264.789999999</v>
      </c>
      <c r="U109" s="64">
        <f t="shared" si="38"/>
        <v>26063188.664999999</v>
      </c>
      <c r="V109" s="64">
        <f t="shared" si="38"/>
        <v>23513183.149999999</v>
      </c>
      <c r="W109" s="64">
        <f t="shared" si="38"/>
        <v>-58937255.850000001</v>
      </c>
      <c r="X109" s="64">
        <f t="shared" si="38"/>
        <v>27601393.239999998</v>
      </c>
      <c r="Y109" s="64">
        <f t="shared" si="38"/>
        <v>25771543.119999997</v>
      </c>
      <c r="Z109" s="64">
        <f t="shared" si="38"/>
        <v>26945221.509000003</v>
      </c>
      <c r="AA109" s="64">
        <f t="shared" si="38"/>
        <v>27563566.744680002</v>
      </c>
      <c r="AB109" s="64">
        <f t="shared" si="38"/>
        <v>30630615.528999999</v>
      </c>
      <c r="AC109" s="64">
        <f t="shared" ref="AC109:AE109" si="47">AC49-AC64</f>
        <v>28768849.915199995</v>
      </c>
      <c r="AD109" s="64">
        <f t="shared" si="47"/>
        <v>-1399434.5490000024</v>
      </c>
      <c r="AE109" s="64">
        <f t="shared" si="47"/>
        <v>23195091.387400001</v>
      </c>
      <c r="AF109" s="64">
        <f t="shared" si="39"/>
        <v>41245818.608599998</v>
      </c>
      <c r="AG109" s="64">
        <f t="shared" si="39"/>
        <v>33859337.675800003</v>
      </c>
      <c r="AH109" s="64">
        <f t="shared" si="39"/>
        <v>20232047.585199997</v>
      </c>
      <c r="AI109" s="64">
        <f t="shared" si="39"/>
        <v>23051530.649999999</v>
      </c>
      <c r="AJ109" s="64">
        <f t="shared" si="39"/>
        <v>34268513.357800007</v>
      </c>
      <c r="AK109" s="64">
        <f t="shared" si="39"/>
        <v>34160083.684199996</v>
      </c>
      <c r="AL109" s="64">
        <v>18291533.136</v>
      </c>
      <c r="AM109" s="64">
        <v>32366075.346000001</v>
      </c>
      <c r="AN109" s="64">
        <v>-36305987.353999995</v>
      </c>
    </row>
    <row r="110" spans="1:40" ht="16.350000000000001" customHeight="1">
      <c r="B110" s="40" t="s">
        <v>118</v>
      </c>
      <c r="C110" s="39" t="s">
        <v>119</v>
      </c>
      <c r="D110" s="39"/>
      <c r="E110" s="64">
        <f t="shared" si="40"/>
        <v>408405.19</v>
      </c>
      <c r="F110" s="64">
        <f t="shared" si="38"/>
        <v>302712.53000000003</v>
      </c>
      <c r="G110" s="64">
        <f t="shared" si="38"/>
        <v>209905.42</v>
      </c>
      <c r="H110" s="64">
        <f t="shared" si="38"/>
        <v>181610.8884</v>
      </c>
      <c r="I110" s="64">
        <f t="shared" si="38"/>
        <v>-396851.33</v>
      </c>
      <c r="J110" s="64">
        <f t="shared" si="38"/>
        <v>0</v>
      </c>
      <c r="K110" s="64">
        <f t="shared" si="38"/>
        <v>-400000</v>
      </c>
      <c r="L110" s="64">
        <f t="shared" si="38"/>
        <v>285094.30119999999</v>
      </c>
      <c r="M110" s="64">
        <f t="shared" si="38"/>
        <v>0</v>
      </c>
      <c r="N110" s="64">
        <f t="shared" si="38"/>
        <v>0</v>
      </c>
      <c r="O110" s="64">
        <f t="shared" si="38"/>
        <v>172710.58000000002</v>
      </c>
      <c r="P110" s="64">
        <f t="shared" si="38"/>
        <v>-184575.33000000002</v>
      </c>
      <c r="Q110" s="64">
        <f t="shared" si="38"/>
        <v>404906.92</v>
      </c>
      <c r="R110" s="64">
        <f t="shared" si="38"/>
        <v>-183078.64999999997</v>
      </c>
      <c r="S110" s="64">
        <f t="shared" si="38"/>
        <v>199459.75</v>
      </c>
      <c r="T110" s="64">
        <f t="shared" si="38"/>
        <v>185053.04</v>
      </c>
      <c r="U110" s="64">
        <f t="shared" si="38"/>
        <v>54787.01999999999</v>
      </c>
      <c r="V110" s="64">
        <f t="shared" si="38"/>
        <v>233304.35</v>
      </c>
      <c r="W110" s="64">
        <f t="shared" si="38"/>
        <v>38180.979999999981</v>
      </c>
      <c r="X110" s="64">
        <f t="shared" si="38"/>
        <v>314995.90000000002</v>
      </c>
      <c r="Y110" s="64">
        <f t="shared" si="38"/>
        <v>244162.4</v>
      </c>
      <c r="Z110" s="64">
        <f t="shared" si="38"/>
        <v>238425.15</v>
      </c>
      <c r="AA110" s="64">
        <f t="shared" si="38"/>
        <v>374189.59</v>
      </c>
      <c r="AB110" s="64">
        <f t="shared" si="38"/>
        <v>440019.03</v>
      </c>
      <c r="AC110" s="64">
        <f t="shared" ref="AC110:AE110" si="48">AC50-AC65</f>
        <v>554513.29</v>
      </c>
      <c r="AD110" s="64">
        <f t="shared" si="48"/>
        <v>129193.03000000003</v>
      </c>
      <c r="AE110" s="64">
        <f t="shared" si="48"/>
        <v>58932.210000000021</v>
      </c>
      <c r="AF110" s="64">
        <f t="shared" si="39"/>
        <v>-28609.75</v>
      </c>
      <c r="AG110" s="64">
        <f t="shared" si="39"/>
        <v>-33038.729999999981</v>
      </c>
      <c r="AH110" s="64">
        <f t="shared" si="39"/>
        <v>-2146.9699999999721</v>
      </c>
      <c r="AI110" s="64">
        <f t="shared" si="39"/>
        <v>221380.76</v>
      </c>
      <c r="AJ110" s="64">
        <f t="shared" si="39"/>
        <v>170877.21000000002</v>
      </c>
      <c r="AK110" s="64">
        <f t="shared" si="39"/>
        <v>326304.46000000002</v>
      </c>
      <c r="AL110" s="64">
        <v>58277.340000000026</v>
      </c>
      <c r="AM110" s="64">
        <v>247043.52000000002</v>
      </c>
      <c r="AN110" s="64">
        <v>-76004.650000000023</v>
      </c>
    </row>
    <row r="111" spans="1:40" ht="16.350000000000001" customHeight="1">
      <c r="B111" s="40" t="s">
        <v>101</v>
      </c>
      <c r="C111" s="39" t="s">
        <v>119</v>
      </c>
      <c r="D111" s="39"/>
      <c r="E111" s="64">
        <f t="shared" si="40"/>
        <v>0</v>
      </c>
      <c r="F111" s="64">
        <f t="shared" si="38"/>
        <v>0</v>
      </c>
      <c r="G111" s="64">
        <f t="shared" si="38"/>
        <v>0</v>
      </c>
      <c r="H111" s="64">
        <f t="shared" si="38"/>
        <v>0</v>
      </c>
      <c r="I111" s="64">
        <f t="shared" si="38"/>
        <v>-1992096.1599999992</v>
      </c>
      <c r="J111" s="64">
        <f t="shared" si="38"/>
        <v>9230743.8611000013</v>
      </c>
      <c r="K111" s="64">
        <f t="shared" si="38"/>
        <v>-1140670.3700000001</v>
      </c>
      <c r="L111" s="64">
        <f t="shared" si="38"/>
        <v>1906361.1100000003</v>
      </c>
      <c r="M111" s="64">
        <f t="shared" si="38"/>
        <v>6393094.7199999997</v>
      </c>
      <c r="N111" s="64">
        <f t="shared" si="38"/>
        <v>6409927.04</v>
      </c>
      <c r="O111" s="64">
        <f t="shared" si="38"/>
        <v>6731500.1600000001</v>
      </c>
      <c r="P111" s="64">
        <f t="shared" si="38"/>
        <v>4008138.24</v>
      </c>
      <c r="Q111" s="64">
        <f t="shared" si="38"/>
        <v>-2390460.9715200001</v>
      </c>
      <c r="R111" s="64">
        <f t="shared" si="38"/>
        <v>-7768683.8624</v>
      </c>
      <c r="S111" s="64">
        <f t="shared" si="38"/>
        <v>822565.91935999971</v>
      </c>
      <c r="T111" s="64">
        <f t="shared" si="38"/>
        <v>-11050307.85</v>
      </c>
      <c r="U111" s="64">
        <f t="shared" si="38"/>
        <v>7291436.5800000001</v>
      </c>
      <c r="V111" s="64">
        <f t="shared" si="38"/>
        <v>7020912.0800000001</v>
      </c>
      <c r="W111" s="64">
        <f t="shared" si="38"/>
        <v>5485185.4495999999</v>
      </c>
      <c r="X111" s="64">
        <f t="shared" si="38"/>
        <v>7955558.8979200013</v>
      </c>
      <c r="Y111" s="64">
        <f t="shared" si="38"/>
        <v>6113049.54</v>
      </c>
      <c r="Z111" s="64">
        <f t="shared" si="38"/>
        <v>3784290.41</v>
      </c>
      <c r="AA111" s="64">
        <f t="shared" si="38"/>
        <v>-1976053.24404</v>
      </c>
      <c r="AB111" s="64">
        <f t="shared" si="38"/>
        <v>-5855665.04</v>
      </c>
      <c r="AC111" s="64">
        <f t="shared" ref="AC111:AE111" si="49">AC51-AC66</f>
        <v>-117808.55154399999</v>
      </c>
      <c r="AD111" s="64">
        <f t="shared" si="49"/>
        <v>-1373116.4</v>
      </c>
      <c r="AE111" s="64">
        <f t="shared" si="49"/>
        <v>-3987217.63</v>
      </c>
      <c r="AF111" s="64">
        <f t="shared" si="39"/>
        <v>-1090699.92</v>
      </c>
      <c r="AG111" s="64">
        <f t="shared" si="39"/>
        <v>-32326152.449999999</v>
      </c>
      <c r="AH111" s="64">
        <f t="shared" si="39"/>
        <v>1310000.04</v>
      </c>
      <c r="AI111" s="64">
        <f t="shared" si="39"/>
        <v>1721903.6799999997</v>
      </c>
      <c r="AJ111" s="64">
        <f t="shared" si="39"/>
        <v>-385334.59999999963</v>
      </c>
      <c r="AK111" s="64">
        <f t="shared" si="39"/>
        <v>-1410776.6399999997</v>
      </c>
      <c r="AL111" s="64">
        <v>5235330.88</v>
      </c>
      <c r="AM111" s="64">
        <v>-1672744.1100000003</v>
      </c>
      <c r="AN111" s="64">
        <v>-3495200.64</v>
      </c>
    </row>
    <row r="112" spans="1:40" ht="16.350000000000001" customHeight="1">
      <c r="B112" s="40" t="s">
        <v>86</v>
      </c>
      <c r="C112" s="39" t="s">
        <v>119</v>
      </c>
      <c r="D112" s="39"/>
      <c r="E112" s="64">
        <f t="shared" si="40"/>
        <v>53618927.56309998</v>
      </c>
      <c r="F112" s="64">
        <f t="shared" si="38"/>
        <v>-14011756.038000047</v>
      </c>
      <c r="G112" s="64">
        <f t="shared" si="38"/>
        <v>-18643359.523599997</v>
      </c>
      <c r="H112" s="64">
        <f t="shared" si="38"/>
        <v>-8460193.6478233635</v>
      </c>
      <c r="I112" s="64">
        <f t="shared" si="38"/>
        <v>-11553811.27337499</v>
      </c>
      <c r="J112" s="64">
        <f t="shared" si="38"/>
        <v>4291360.9819000363</v>
      </c>
      <c r="K112" s="64">
        <f t="shared" si="38"/>
        <v>485242.24429999292</v>
      </c>
      <c r="L112" s="64">
        <f t="shared" si="38"/>
        <v>14986785.170399994</v>
      </c>
      <c r="M112" s="64">
        <f t="shared" si="38"/>
        <v>-7435374.7543000132</v>
      </c>
      <c r="N112" s="64">
        <f t="shared" si="38"/>
        <v>9847713.5526000112</v>
      </c>
      <c r="O112" s="64">
        <f t="shared" si="38"/>
        <v>27090559.957100004</v>
      </c>
      <c r="P112" s="64">
        <f t="shared" si="38"/>
        <v>51280130.991900027</v>
      </c>
      <c r="Q112" s="64">
        <f t="shared" si="38"/>
        <v>55898937.363000065</v>
      </c>
      <c r="R112" s="64">
        <f t="shared" si="38"/>
        <v>28061183.995999992</v>
      </c>
      <c r="S112" s="64">
        <f t="shared" si="38"/>
        <v>-6839663.273999989</v>
      </c>
      <c r="T112" s="64">
        <f t="shared" si="38"/>
        <v>-25581338.853</v>
      </c>
      <c r="U112" s="64">
        <f t="shared" si="38"/>
        <v>-15491746.169</v>
      </c>
      <c r="V112" s="64">
        <f t="shared" si="38"/>
        <v>-139673.12799100578</v>
      </c>
      <c r="W112" s="64">
        <f t="shared" si="38"/>
        <v>1951261.3079490215</v>
      </c>
      <c r="X112" s="64">
        <f t="shared" si="38"/>
        <v>-5432275.7630579919</v>
      </c>
      <c r="Y112" s="64">
        <f t="shared" si="38"/>
        <v>-23150662.701088011</v>
      </c>
      <c r="Z112" s="64">
        <f t="shared" si="38"/>
        <v>8104351.2425500005</v>
      </c>
      <c r="AA112" s="64">
        <f t="shared" si="38"/>
        <v>54291521.298600018</v>
      </c>
      <c r="AB112" s="64">
        <f t="shared" si="38"/>
        <v>77888372.476493001</v>
      </c>
      <c r="AC112" s="64">
        <f t="shared" ref="AC112:AE112" si="50">AC52-AC67</f>
        <v>23889123.629260033</v>
      </c>
      <c r="AD112" s="64">
        <f t="shared" si="50"/>
        <v>-10408762.991337985</v>
      </c>
      <c r="AE112" s="64">
        <f t="shared" si="50"/>
        <v>-741829.14715799689</v>
      </c>
      <c r="AF112" s="64">
        <f t="shared" si="39"/>
        <v>-40655515.360439032</v>
      </c>
      <c r="AG112" s="64">
        <f t="shared" si="39"/>
        <v>-16100312.96280399</v>
      </c>
      <c r="AH112" s="64">
        <f t="shared" si="39"/>
        <v>6477701.8155229986</v>
      </c>
      <c r="AI112" s="64">
        <f t="shared" si="39"/>
        <v>16571984.280095011</v>
      </c>
      <c r="AJ112" s="64">
        <f t="shared" si="39"/>
        <v>-18590754.729929984</v>
      </c>
      <c r="AK112" s="64">
        <f t="shared" si="39"/>
        <v>-38165104.194476962</v>
      </c>
      <c r="AL112" s="64">
        <v>-1526206.0924120843</v>
      </c>
      <c r="AM112" s="64">
        <v>53251083.530785054</v>
      </c>
      <c r="AN112" s="64">
        <v>55751781.857844919</v>
      </c>
    </row>
    <row r="113" spans="1:40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1:40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1">SUBTOTAL(9,F102:F112)</f>
        <v>50193522.275999978</v>
      </c>
      <c r="G114" s="66">
        <f t="shared" si="51"/>
        <v>-451247710.16154993</v>
      </c>
      <c r="H114" s="66">
        <f t="shared" si="51"/>
        <v>35224381.988596454</v>
      </c>
      <c r="I114" s="66">
        <f t="shared" si="51"/>
        <v>45868053.918235093</v>
      </c>
      <c r="J114" s="66">
        <f>SUBTOTAL(9,J102:J112)</f>
        <v>50269844.004645005</v>
      </c>
      <c r="K114" s="66">
        <f t="shared" ref="K114:AB114" si="52">SUBTOTAL(9,K102:K112)</f>
        <v>66751200.671765037</v>
      </c>
      <c r="L114" s="66">
        <f t="shared" si="52"/>
        <v>77584532.747310057</v>
      </c>
      <c r="M114" s="66">
        <f t="shared" si="52"/>
        <v>-9902161.1938690022</v>
      </c>
      <c r="N114" s="66">
        <f t="shared" si="52"/>
        <v>51218567.309325062</v>
      </c>
      <c r="O114" s="66">
        <f t="shared" si="52"/>
        <v>86730924.803605035</v>
      </c>
      <c r="P114" s="66">
        <f t="shared" si="52"/>
        <v>13667300.200320117</v>
      </c>
      <c r="Q114" s="66">
        <f t="shared" si="52"/>
        <v>129812260.16834213</v>
      </c>
      <c r="R114" s="66">
        <f t="shared" si="52"/>
        <v>45038429.892526016</v>
      </c>
      <c r="S114" s="66">
        <f t="shared" si="52"/>
        <v>33705417.202336028</v>
      </c>
      <c r="T114" s="66">
        <f t="shared" si="52"/>
        <v>10003897.940050006</v>
      </c>
      <c r="U114" s="66">
        <f t="shared" si="52"/>
        <v>54068078.024300069</v>
      </c>
      <c r="V114" s="66">
        <f t="shared" si="52"/>
        <v>70482404.626342967</v>
      </c>
      <c r="W114" s="66">
        <f t="shared" si="52"/>
        <v>-21458980.031963967</v>
      </c>
      <c r="X114" s="66">
        <f t="shared" si="52"/>
        <v>64795218.59213993</v>
      </c>
      <c r="Y114" s="66">
        <f t="shared" si="52"/>
        <v>2101123.7930764072</v>
      </c>
      <c r="Z114" s="66">
        <f t="shared" si="52"/>
        <v>59732774.107988015</v>
      </c>
      <c r="AA114" s="66">
        <f t="shared" si="52"/>
        <v>103010244.18377408</v>
      </c>
      <c r="AB114" s="66">
        <f t="shared" si="52"/>
        <v>90654614.55344604</v>
      </c>
      <c r="AC114" s="66">
        <f t="shared" ref="AC114:AJ114" si="53">SUBTOTAL(9,AC102:AC112)</f>
        <v>95335036.291037351</v>
      </c>
      <c r="AD114" s="66">
        <f t="shared" si="53"/>
        <v>25486257.323946916</v>
      </c>
      <c r="AE114" s="66">
        <f t="shared" si="53"/>
        <v>61129548.541051455</v>
      </c>
      <c r="AF114" s="66">
        <f t="shared" si="53"/>
        <v>32997446.054162905</v>
      </c>
      <c r="AG114" s="66">
        <f t="shared" si="53"/>
        <v>50631187.51778698</v>
      </c>
      <c r="AH114" s="66">
        <f t="shared" si="53"/>
        <v>76328972.573350742</v>
      </c>
      <c r="AI114" s="66">
        <f t="shared" si="53"/>
        <v>121872185.12392589</v>
      </c>
      <c r="AJ114" s="66">
        <f t="shared" si="53"/>
        <v>61086339.978789121</v>
      </c>
      <c r="AK114" s="66">
        <f>SUBTOTAL(9,AK102:AK112)</f>
        <v>-4312900.988006942</v>
      </c>
      <c r="AL114" s="66">
        <v>2520549.7425259547</v>
      </c>
      <c r="AM114" s="66">
        <v>71421828.347820073</v>
      </c>
      <c r="AN114" s="66">
        <v>9291146.2523076609</v>
      </c>
    </row>
    <row r="115" spans="1:40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157</v>
      </c>
      <c r="AC115" s="19"/>
      <c r="AD115" s="19"/>
      <c r="AE115" s="19"/>
    </row>
    <row r="116" spans="1:40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40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40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40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40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40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40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40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40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40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40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40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40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 ht="13.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 ht="13.15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 ht="13.15">
      <c r="C156" s="42"/>
      <c r="D156" s="42"/>
    </row>
    <row r="157" spans="3:4">
      <c r="C157" s="18"/>
      <c r="D157" s="18"/>
    </row>
    <row r="158" spans="3:4" ht="13.15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 ht="13.15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P121"/>
  <sheetViews>
    <sheetView topLeftCell="A16" zoomScaleNormal="100" workbookViewId="0">
      <selection activeCell="J51" sqref="J5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0" width="16" style="7" customWidth="1"/>
    <col min="11" max="14" width="8" style="7"/>
    <col min="15" max="15" width="10.73046875" style="7" bestFit="1" customWidth="1"/>
    <col min="16" max="16384" width="8" style="7"/>
  </cols>
  <sheetData>
    <row r="1" spans="1:10" s="6" customFormat="1" ht="15.4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  <c r="J1" s="59">
        <v>2025</v>
      </c>
    </row>
    <row r="2" spans="1:10" ht="14.2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  <c r="J2" s="62">
        <v>6261.755000000001</v>
      </c>
    </row>
    <row r="3" spans="1:10" ht="14.2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  <c r="J3" s="62">
        <v>-3805.0970000000002</v>
      </c>
    </row>
    <row r="4" spans="1:10" ht="14.2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  <c r="J4" s="62">
        <f>SUM(J2:J3)</f>
        <v>2456.6580000000008</v>
      </c>
    </row>
    <row r="5" spans="1:10" ht="14.25">
      <c r="B5" s="11" t="s">
        <v>7</v>
      </c>
      <c r="C5" s="9" t="s">
        <v>65</v>
      </c>
      <c r="D5" s="9"/>
      <c r="E5" s="33"/>
      <c r="F5" s="62"/>
      <c r="G5" s="62"/>
      <c r="H5" s="62"/>
      <c r="I5" s="62"/>
      <c r="J5" s="62">
        <v>81.971000000000004</v>
      </c>
    </row>
    <row r="6" spans="1:10" ht="14.2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  <c r="J6" s="62">
        <v>-1035.7380000000001</v>
      </c>
    </row>
    <row r="7" spans="1:10" ht="14.25">
      <c r="B7" s="11" t="s">
        <v>10</v>
      </c>
      <c r="C7" s="9" t="s">
        <v>65</v>
      </c>
      <c r="D7" s="9"/>
      <c r="E7" s="33"/>
      <c r="F7" s="62"/>
      <c r="G7" s="62"/>
      <c r="H7" s="62"/>
      <c r="I7" s="62"/>
      <c r="J7" s="62"/>
    </row>
    <row r="8" spans="1:10" ht="14.2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  <c r="J8" s="62">
        <f>SUM(J4:J7)</f>
        <v>1502.8910000000008</v>
      </c>
    </row>
    <row r="9" spans="1:10" ht="14.2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  <c r="J9" s="62">
        <v>-216.50399999999999</v>
      </c>
    </row>
    <row r="10" spans="1:10" ht="14.2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  <c r="J10" s="62">
        <f t="shared" ref="J10" si="3">SUM(J8:J9)</f>
        <v>1286.3870000000009</v>
      </c>
    </row>
    <row r="11" spans="1:10" ht="14.2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  <c r="J11" s="62"/>
    </row>
    <row r="12" spans="1:10" ht="14.2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  <c r="J12" s="62"/>
    </row>
    <row r="13" spans="1:10" ht="14.2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  <c r="J13" s="62">
        <v>-278.73200000000003</v>
      </c>
    </row>
    <row r="14" spans="1:10" ht="14.2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4">SUM(G10:G13)</f>
        <v>-676.92800000000011</v>
      </c>
      <c r="H14" s="63">
        <f t="shared" si="4"/>
        <v>-15.796999999999908</v>
      </c>
      <c r="I14" s="63">
        <f t="shared" si="4"/>
        <v>474.08300000000037</v>
      </c>
      <c r="J14" s="63">
        <f t="shared" ref="J14" si="5">SUM(J10:J13)</f>
        <v>1007.6550000000009</v>
      </c>
    </row>
    <row r="15" spans="1:10">
      <c r="B15" s="18"/>
      <c r="C15" s="9"/>
      <c r="D15" s="9"/>
    </row>
    <row r="16" spans="1:10" s="6" customFormat="1" ht="15.4" thickBot="1">
      <c r="A16" s="135" t="s">
        <v>28</v>
      </c>
      <c r="B16" s="136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  <c r="J16" s="59">
        <v>2025</v>
      </c>
    </row>
    <row r="17" spans="1:15">
      <c r="B17" s="137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19">
        <v>3667</v>
      </c>
      <c r="J17" s="119">
        <v>3831.8</v>
      </c>
    </row>
    <row r="18" spans="1:15">
      <c r="B18" s="11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19">
        <v>7.3</v>
      </c>
      <c r="J18" s="119">
        <v>5.62</v>
      </c>
    </row>
    <row r="19" spans="1:15" ht="13.15">
      <c r="B19" s="11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19">
        <v>261</v>
      </c>
      <c r="J19" s="119">
        <v>223.4</v>
      </c>
    </row>
    <row r="20" spans="1:15">
      <c r="B20" s="11" t="s">
        <v>26</v>
      </c>
      <c r="C20" s="9" t="s">
        <v>65</v>
      </c>
      <c r="D20" s="9"/>
      <c r="E20" s="33"/>
      <c r="F20" s="60"/>
      <c r="G20" s="60"/>
      <c r="H20" s="60"/>
      <c r="I20" s="119"/>
      <c r="J20" s="119">
        <v>0.5</v>
      </c>
    </row>
    <row r="21" spans="1:15" ht="13.15">
      <c r="B21" s="45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6">SUM(G17:G20)</f>
        <v>3394.395</v>
      </c>
      <c r="H21" s="60">
        <f t="shared" si="6"/>
        <v>3594.22</v>
      </c>
      <c r="I21" s="119">
        <f t="shared" si="6"/>
        <v>3935.3</v>
      </c>
      <c r="J21" s="138">
        <f>SUM(J17:J20)</f>
        <v>4061.32</v>
      </c>
    </row>
    <row r="22" spans="1:15" ht="13.15">
      <c r="B22" s="11" t="s">
        <v>29</v>
      </c>
      <c r="C22" s="9" t="s">
        <v>65</v>
      </c>
      <c r="D22" s="46"/>
      <c r="E22" s="33"/>
      <c r="F22" s="60"/>
      <c r="G22" s="60"/>
      <c r="H22" s="60"/>
      <c r="I22" s="119"/>
      <c r="J22" s="119"/>
      <c r="O22" s="48"/>
    </row>
    <row r="23" spans="1:15">
      <c r="B23" s="11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19">
        <v>675</v>
      </c>
      <c r="J23" s="119">
        <v>1096</v>
      </c>
    </row>
    <row r="24" spans="1:15">
      <c r="B24" s="11" t="s">
        <v>2</v>
      </c>
      <c r="C24" s="9" t="s">
        <v>65</v>
      </c>
      <c r="D24" s="9"/>
      <c r="E24" s="33"/>
      <c r="F24" s="60"/>
      <c r="G24" s="60"/>
      <c r="H24" s="60"/>
      <c r="I24" s="119"/>
      <c r="J24" s="119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19">
        <v>310</v>
      </c>
      <c r="J25" s="119">
        <v>405.38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19"/>
      <c r="J26" s="119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19">
        <v>13</v>
      </c>
      <c r="J27" s="119">
        <v>249.2</v>
      </c>
    </row>
    <row r="28" spans="1:15" ht="13.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7">SUM(G22:G27)</f>
        <v>982.61900000000003</v>
      </c>
      <c r="H28" s="60">
        <f t="shared" si="7"/>
        <v>844.88499999999999</v>
      </c>
      <c r="I28" s="119">
        <f t="shared" si="7"/>
        <v>998</v>
      </c>
      <c r="J28" s="138">
        <f>SUM(J22:J27)</f>
        <v>1750.5800000000002</v>
      </c>
    </row>
    <row r="29" spans="1:15" ht="13.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8">H21+H28</f>
        <v>4439.1049999999996</v>
      </c>
      <c r="I29" s="120">
        <f t="shared" si="8"/>
        <v>4933.3</v>
      </c>
      <c r="J29" s="120">
        <f>J21+J28</f>
        <v>5811.9000000000005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  <c r="J31" s="59">
        <v>2025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  <c r="J32" s="60">
        <v>251.733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  <c r="J33" s="60"/>
    </row>
    <row r="34" spans="1:15" ht="14.2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  <c r="J34" s="122">
        <v>-37.610999999999997</v>
      </c>
    </row>
    <row r="35" spans="1:15" ht="13.1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  <c r="J35" s="60">
        <v>19.989999999999998</v>
      </c>
    </row>
    <row r="36" spans="1:15" ht="13.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  <c r="J36" s="60">
        <v>90.353999999999999</v>
      </c>
    </row>
    <row r="37" spans="1:15" ht="13.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  <c r="J37" s="60">
        <v>273</v>
      </c>
    </row>
    <row r="38" spans="1:15" ht="13.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J38" si="9">SUM(G32:G37)</f>
        <v>471.85700000000003</v>
      </c>
      <c r="H38" s="61">
        <f t="shared" si="9"/>
        <v>159.49999999999997</v>
      </c>
      <c r="I38" s="61">
        <f t="shared" si="9"/>
        <v>641.94600000000003</v>
      </c>
      <c r="J38" s="61">
        <f t="shared" si="9"/>
        <v>597.46600000000001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  <c r="J40" s="59">
        <v>2025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19">
        <v>213</v>
      </c>
      <c r="J41" s="119">
        <v>186.58199999999999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19"/>
      <c r="J42" s="119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19"/>
      <c r="J43" s="119">
        <v>13.645</v>
      </c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19"/>
      <c r="J44" s="119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19"/>
      <c r="J45" s="119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19">
        <v>1503</v>
      </c>
      <c r="J46" s="60">
        <f>1363.2-56+18.93</f>
        <v>1326.13</v>
      </c>
      <c r="O46" s="48"/>
    </row>
    <row r="47" spans="1:15" ht="13.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19">
        <v>43</v>
      </c>
      <c r="J47" s="119">
        <v>56.08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19"/>
      <c r="J48" s="119"/>
    </row>
    <row r="49" spans="1:10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19">
        <v>231.7</v>
      </c>
      <c r="J49" s="119">
        <v>440.77</v>
      </c>
    </row>
    <row r="50" spans="1:10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19">
        <v>52.4</v>
      </c>
      <c r="J50" s="119">
        <v>76.569999999999993</v>
      </c>
    </row>
    <row r="51" spans="1:10">
      <c r="B51" s="45" t="s">
        <v>54</v>
      </c>
      <c r="C51" s="9" t="s">
        <v>65</v>
      </c>
      <c r="D51" s="9"/>
      <c r="E51" s="33"/>
      <c r="F51" s="60"/>
      <c r="G51" s="60"/>
      <c r="H51" s="60"/>
      <c r="I51" s="119"/>
      <c r="J51" s="119"/>
    </row>
    <row r="52" spans="1:10" ht="13.15">
      <c r="B52" s="14" t="s">
        <v>70</v>
      </c>
      <c r="C52" s="9" t="s">
        <v>65</v>
      </c>
      <c r="D52" s="9"/>
      <c r="E52" s="34"/>
      <c r="F52" s="61">
        <f t="shared" ref="F52:G52" si="10">SUM(F41:F51)</f>
        <v>985.33100000000013</v>
      </c>
      <c r="G52" s="61">
        <f t="shared" si="10"/>
        <v>1994.9670000000003</v>
      </c>
      <c r="H52" s="61">
        <f>SUM(H41:H51)</f>
        <v>2072.808</v>
      </c>
      <c r="I52" s="120">
        <f>SUM(I41:I51)</f>
        <v>2043.1000000000001</v>
      </c>
      <c r="J52" s="120">
        <f>SUM(J41:J51)</f>
        <v>2099.777</v>
      </c>
    </row>
    <row r="53" spans="1:10" ht="13.15">
      <c r="B53" s="35"/>
      <c r="C53" s="9"/>
      <c r="D53" s="9"/>
      <c r="E53" s="34"/>
      <c r="F53" s="56"/>
      <c r="G53" s="56"/>
      <c r="H53" s="56"/>
    </row>
    <row r="54" spans="1:10" s="6" customFormat="1" ht="15.4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  <c r="J54" s="59">
        <v>2025</v>
      </c>
    </row>
    <row r="55" spans="1:10">
      <c r="B55" s="109" t="s">
        <v>123</v>
      </c>
      <c r="C55" s="110" t="s">
        <v>65</v>
      </c>
      <c r="D55" s="110"/>
      <c r="E55" s="99"/>
      <c r="F55" s="119">
        <v>-248.46</v>
      </c>
      <c r="G55" s="119">
        <v>465.14600000000002</v>
      </c>
      <c r="H55" s="119">
        <v>308.96199999999999</v>
      </c>
      <c r="I55" s="119">
        <v>117</v>
      </c>
      <c r="J55" s="119">
        <v>1227.925</v>
      </c>
    </row>
    <row r="56" spans="1:10">
      <c r="B56" s="107" t="s">
        <v>149</v>
      </c>
      <c r="C56" s="110" t="s">
        <v>65</v>
      </c>
      <c r="D56" s="110"/>
      <c r="E56" s="99"/>
      <c r="F56" s="119">
        <v>442.4</v>
      </c>
      <c r="G56" s="119">
        <v>567.82600000000002</v>
      </c>
      <c r="H56" s="119">
        <v>856.44100000000003</v>
      </c>
      <c r="I56" s="119">
        <v>1171.2470000000001</v>
      </c>
      <c r="J56" s="119">
        <v>65</v>
      </c>
    </row>
    <row r="57" spans="1:10">
      <c r="B57" s="109" t="s">
        <v>124</v>
      </c>
      <c r="C57" s="110" t="s">
        <v>65</v>
      </c>
      <c r="D57" s="111"/>
      <c r="E57" s="99"/>
      <c r="F57" s="119"/>
      <c r="G57" s="119">
        <v>53.954000000000001</v>
      </c>
      <c r="H57" s="119">
        <v>19.954000000000001</v>
      </c>
      <c r="I57" s="119">
        <v>5.9539999999999997</v>
      </c>
      <c r="J57" s="119">
        <v>29.183</v>
      </c>
    </row>
    <row r="58" spans="1:10" ht="13.15">
      <c r="B58" s="109" t="s">
        <v>125</v>
      </c>
      <c r="C58" s="110" t="s">
        <v>65</v>
      </c>
      <c r="D58" s="112"/>
      <c r="E58" s="99"/>
      <c r="F58" s="119"/>
      <c r="G58" s="119">
        <v>18.82</v>
      </c>
      <c r="H58" s="119">
        <v>12.752000000000001</v>
      </c>
      <c r="I58" s="119">
        <v>4.452</v>
      </c>
      <c r="J58" s="119">
        <v>0</v>
      </c>
    </row>
    <row r="59" spans="1:10" ht="13.15">
      <c r="B59" s="109" t="s">
        <v>126</v>
      </c>
      <c r="C59" s="110" t="s">
        <v>65</v>
      </c>
      <c r="D59" s="112"/>
      <c r="E59" s="99"/>
      <c r="F59" s="119">
        <v>221.14</v>
      </c>
      <c r="G59" s="119">
        <v>63.243000000000002</v>
      </c>
      <c r="H59" s="119">
        <v>74.200999999999993</v>
      </c>
      <c r="I59" s="119">
        <v>232</v>
      </c>
      <c r="J59" s="119">
        <v>0</v>
      </c>
    </row>
    <row r="60" spans="1:10" ht="13.15">
      <c r="B60" s="107" t="s">
        <v>64</v>
      </c>
      <c r="C60" s="110" t="s">
        <v>65</v>
      </c>
      <c r="D60" s="112"/>
      <c r="E60" s="99"/>
      <c r="F60" s="119">
        <v>32.476999999999997</v>
      </c>
      <c r="G60" s="119">
        <v>112.23699999999999</v>
      </c>
      <c r="H60" s="119">
        <v>134.643</v>
      </c>
      <c r="I60" s="119">
        <v>139.501</v>
      </c>
      <c r="J60" s="119">
        <v>312</v>
      </c>
    </row>
    <row r="61" spans="1:10" ht="13.15">
      <c r="B61" s="113" t="s">
        <v>3</v>
      </c>
      <c r="C61" s="110" t="s">
        <v>65</v>
      </c>
      <c r="D61" s="110"/>
      <c r="E61" s="101"/>
      <c r="F61" s="120">
        <f>SUM(F55:F60)</f>
        <v>447.5569999999999</v>
      </c>
      <c r="G61" s="120">
        <f t="shared" ref="G61" si="11">SUM(G55:G60)</f>
        <v>1281.2259999999999</v>
      </c>
      <c r="H61" s="120">
        <f>SUM(H55:H60)</f>
        <v>1406.953</v>
      </c>
      <c r="I61" s="120">
        <f>SUM(I55:I60)</f>
        <v>1670.154</v>
      </c>
      <c r="J61" s="120">
        <f>SUM(J55:J60)</f>
        <v>1634.1079999999999</v>
      </c>
    </row>
    <row r="62" spans="1:10">
      <c r="C62" s="9"/>
      <c r="D62" s="9"/>
    </row>
    <row r="63" spans="1:10" s="6" customFormat="1" ht="15.4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  <c r="J63" s="59">
        <v>2025</v>
      </c>
    </row>
    <row r="64" spans="1:10" ht="14.25">
      <c r="B64" s="109" t="s">
        <v>37</v>
      </c>
      <c r="C64" s="110" t="s">
        <v>65</v>
      </c>
      <c r="D64" s="110"/>
      <c r="E64" s="121"/>
      <c r="F64" s="122">
        <v>2708.9639999999999</v>
      </c>
      <c r="G64" s="122">
        <v>2940.1669999999999</v>
      </c>
      <c r="H64" s="122">
        <v>3852.5</v>
      </c>
      <c r="I64" s="122">
        <v>4545.3</v>
      </c>
      <c r="J64" s="122">
        <v>6415.482</v>
      </c>
    </row>
    <row r="65" spans="2:12" ht="14.25">
      <c r="B65" s="107" t="s">
        <v>38</v>
      </c>
      <c r="C65" s="110" t="s">
        <v>65</v>
      </c>
      <c r="D65" s="110"/>
      <c r="E65" s="121"/>
      <c r="F65" s="122"/>
      <c r="G65" s="122"/>
      <c r="H65" s="122">
        <v>0.4</v>
      </c>
      <c r="I65" s="122">
        <v>0</v>
      </c>
      <c r="J65" s="122">
        <v>0.72</v>
      </c>
    </row>
    <row r="66" spans="2:12" ht="14.25">
      <c r="B66" s="107" t="s">
        <v>39</v>
      </c>
      <c r="C66" s="110" t="s">
        <v>65</v>
      </c>
      <c r="D66" s="110"/>
      <c r="E66" s="121"/>
      <c r="F66" s="122">
        <v>-194.25200000000001</v>
      </c>
      <c r="G66" s="122">
        <v>-329.55399999999997</v>
      </c>
      <c r="H66" s="122">
        <v>-184.01400000000001</v>
      </c>
      <c r="I66" s="122">
        <v>-282.70099999999996</v>
      </c>
      <c r="J66" s="122">
        <v>-128.0199999999999</v>
      </c>
    </row>
    <row r="67" spans="2:12" ht="14.25">
      <c r="B67" s="107" t="s">
        <v>40</v>
      </c>
      <c r="C67" s="110" t="s">
        <v>65</v>
      </c>
      <c r="D67" s="112"/>
      <c r="E67" s="121"/>
      <c r="F67" s="122">
        <v>-2195.9569999999999</v>
      </c>
      <c r="G67" s="122">
        <v>-1902.048</v>
      </c>
      <c r="H67" s="122">
        <v>-2966.5</v>
      </c>
      <c r="I67" s="122">
        <v>-3372.8</v>
      </c>
      <c r="J67" s="122">
        <v>-4601.8140000000003</v>
      </c>
    </row>
    <row r="68" spans="2:12" ht="14.25">
      <c r="B68" s="107" t="s">
        <v>41</v>
      </c>
      <c r="C68" s="110" t="s">
        <v>65</v>
      </c>
      <c r="D68" s="110"/>
      <c r="E68" s="121"/>
      <c r="F68" s="122">
        <v>-212.298</v>
      </c>
      <c r="G68" s="122">
        <v>-264.97699999999998</v>
      </c>
      <c r="H68" s="122">
        <v>-272.2</v>
      </c>
      <c r="I68" s="122">
        <v>-279.5</v>
      </c>
      <c r="J68" s="122">
        <v>-324.56700000000001</v>
      </c>
    </row>
    <row r="69" spans="2:12" ht="14.25">
      <c r="B69" s="107" t="s">
        <v>42</v>
      </c>
      <c r="C69" s="110" t="s">
        <v>65</v>
      </c>
      <c r="D69" s="110"/>
      <c r="E69" s="121"/>
      <c r="F69" s="122">
        <v>-45.5</v>
      </c>
      <c r="G69" s="122">
        <v>-67.793999999999997</v>
      </c>
      <c r="H69" s="122">
        <v>-41.4</v>
      </c>
      <c r="I69" s="122">
        <v>-60.099999999999994</v>
      </c>
      <c r="J69" s="122">
        <v>-95.144000000000005</v>
      </c>
    </row>
    <row r="70" spans="2:12" ht="14.25">
      <c r="B70" s="107" t="s">
        <v>11</v>
      </c>
      <c r="C70" s="110" t="s">
        <v>65</v>
      </c>
      <c r="D70" s="110"/>
      <c r="E70" s="121"/>
      <c r="F70" s="122">
        <v>-29.818999999999999</v>
      </c>
      <c r="G70" s="122">
        <v>-263.74799999999999</v>
      </c>
      <c r="H70" s="122">
        <v>-338.70000000000005</v>
      </c>
      <c r="I70" s="122">
        <v>-480.90000000000003</v>
      </c>
      <c r="J70" s="122">
        <v>-811.08</v>
      </c>
    </row>
    <row r="71" spans="2:12" ht="14.25">
      <c r="B71" s="107" t="s">
        <v>109</v>
      </c>
      <c r="C71" s="110"/>
      <c r="D71" s="110"/>
      <c r="E71" s="121"/>
      <c r="F71" s="122">
        <v>-30.393999999999998</v>
      </c>
      <c r="G71" s="122">
        <v>-96.105999999999995</v>
      </c>
      <c r="H71" s="122">
        <v>-47.4</v>
      </c>
      <c r="I71" s="122">
        <v>-70.599999999999994</v>
      </c>
      <c r="J71" s="122">
        <v>-93.84</v>
      </c>
    </row>
    <row r="72" spans="2:12" ht="14.25">
      <c r="B72" s="107" t="s">
        <v>57</v>
      </c>
      <c r="C72" s="110" t="s">
        <v>65</v>
      </c>
      <c r="D72" s="110"/>
      <c r="E72" s="121"/>
      <c r="F72" s="122">
        <f>SUM(F64:F71)</f>
        <v>0.74400000000010991</v>
      </c>
      <c r="G72" s="122">
        <f>SUM(G64:G71)</f>
        <v>15.939999999999884</v>
      </c>
      <c r="H72" s="122">
        <f>SUM(H64:H71)</f>
        <v>2.6859999999999573</v>
      </c>
      <c r="I72" s="122">
        <f>SUM(I64:I71)</f>
        <v>-1.301000000000073</v>
      </c>
      <c r="J72" s="122">
        <f>SUM(J64:J71)</f>
        <v>361.73700000000031</v>
      </c>
    </row>
    <row r="73" spans="2:12" ht="14.25">
      <c r="B73" s="107" t="s">
        <v>55</v>
      </c>
      <c r="C73" s="110" t="s">
        <v>65</v>
      </c>
      <c r="D73" s="110"/>
      <c r="E73" s="121"/>
      <c r="F73" s="122"/>
      <c r="G73" s="122"/>
      <c r="H73" s="122">
        <v>-3.4370000000000003</v>
      </c>
      <c r="I73" s="122">
        <v>0</v>
      </c>
      <c r="J73" s="122">
        <v>0</v>
      </c>
    </row>
    <row r="74" spans="2:12" ht="14.25">
      <c r="B74" s="107" t="s">
        <v>56</v>
      </c>
      <c r="C74" s="110" t="s">
        <v>65</v>
      </c>
      <c r="D74" s="110"/>
      <c r="E74" s="121"/>
      <c r="F74" s="122"/>
      <c r="G74" s="122"/>
      <c r="H74" s="122">
        <v>0</v>
      </c>
      <c r="I74" s="122">
        <v>0</v>
      </c>
      <c r="J74" s="122">
        <v>-128.1283</v>
      </c>
    </row>
    <row r="75" spans="2:12" ht="14.25">
      <c r="B75" s="107" t="s">
        <v>58</v>
      </c>
      <c r="C75" s="110" t="s">
        <v>65</v>
      </c>
      <c r="D75" s="111"/>
      <c r="E75" s="121"/>
      <c r="F75" s="122"/>
      <c r="G75" s="122"/>
      <c r="H75" s="122">
        <v>0</v>
      </c>
      <c r="I75" s="122">
        <v>0</v>
      </c>
      <c r="J75" s="122">
        <v>0</v>
      </c>
    </row>
    <row r="76" spans="2:12" ht="14.25">
      <c r="B76" s="107" t="s">
        <v>59</v>
      </c>
      <c r="C76" s="110" t="s">
        <v>65</v>
      </c>
      <c r="D76" s="112"/>
      <c r="E76" s="121"/>
      <c r="F76" s="122"/>
      <c r="G76" s="122"/>
      <c r="H76" s="122">
        <v>0</v>
      </c>
      <c r="I76" s="122">
        <v>0</v>
      </c>
      <c r="J76" s="122">
        <v>0</v>
      </c>
    </row>
    <row r="77" spans="2:12" ht="14.25">
      <c r="B77" s="107" t="s">
        <v>60</v>
      </c>
      <c r="C77" s="110" t="s">
        <v>65</v>
      </c>
      <c r="D77" s="110"/>
      <c r="E77" s="121"/>
      <c r="F77" s="122"/>
      <c r="G77" s="122"/>
      <c r="H77" s="122">
        <v>0</v>
      </c>
      <c r="I77" s="122">
        <v>0</v>
      </c>
      <c r="J77" s="122">
        <v>0</v>
      </c>
    </row>
    <row r="78" spans="2:12" ht="14.25">
      <c r="B78" s="118" t="s">
        <v>61</v>
      </c>
      <c r="C78" s="110" t="s">
        <v>65</v>
      </c>
      <c r="D78" s="110"/>
      <c r="E78" s="121"/>
      <c r="F78" s="122"/>
      <c r="G78" s="122"/>
      <c r="H78" s="122">
        <v>0</v>
      </c>
      <c r="I78" s="122">
        <v>0</v>
      </c>
      <c r="J78" s="122">
        <v>2.1359999999999992</v>
      </c>
    </row>
    <row r="79" spans="2:12" ht="16.350000000000001" customHeight="1">
      <c r="B79" s="118" t="s">
        <v>148</v>
      </c>
      <c r="C79" s="110"/>
      <c r="D79" s="110"/>
      <c r="E79" s="102"/>
      <c r="F79" s="122"/>
      <c r="G79" s="122"/>
      <c r="H79" s="122">
        <v>15</v>
      </c>
      <c r="I79" s="122">
        <f t="shared" ref="I79" si="12">H80</f>
        <v>14.248999999999956</v>
      </c>
      <c r="J79" s="122">
        <f>I80</f>
        <v>12.947999999999883</v>
      </c>
      <c r="K79" s="93"/>
      <c r="L79" s="93"/>
    </row>
    <row r="80" spans="2:12" ht="14.25">
      <c r="B80" s="113" t="s">
        <v>3</v>
      </c>
      <c r="C80" s="110" t="s">
        <v>65</v>
      </c>
      <c r="D80" s="110"/>
      <c r="E80" s="123"/>
      <c r="F80" s="122"/>
      <c r="G80" s="122"/>
      <c r="H80" s="122">
        <f>SUM(H72:H79)</f>
        <v>14.248999999999956</v>
      </c>
      <c r="I80" s="122">
        <f>SUM(I72:I79)</f>
        <v>12.947999999999883</v>
      </c>
      <c r="J80" s="122">
        <f>SUM(J72:J79)</f>
        <v>248.6927000000002</v>
      </c>
    </row>
    <row r="81" spans="1:16">
      <c r="B81" s="18"/>
      <c r="C81" s="9"/>
      <c r="D81" s="9"/>
      <c r="H81" s="124"/>
      <c r="I81" s="124"/>
    </row>
    <row r="82" spans="1:16" s="6" customFormat="1" ht="15.4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54">
        <v>2025</v>
      </c>
      <c r="K82" s="1"/>
      <c r="L82" s="2"/>
      <c r="M82" s="1"/>
      <c r="N82" s="2"/>
      <c r="O82" s="1"/>
      <c r="P82" s="2"/>
    </row>
    <row r="83" spans="1:16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22" sqref="L2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1" width="8" style="7"/>
    <col min="12" max="12" width="19.86328125" style="7" customWidth="1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160</v>
      </c>
      <c r="J1" s="2" t="s">
        <v>82</v>
      </c>
      <c r="K1" s="1" t="s">
        <v>159</v>
      </c>
      <c r="L1" s="2" t="s">
        <v>162</v>
      </c>
    </row>
    <row r="2" spans="1:13" ht="14.2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v>2944.6660000000002</v>
      </c>
      <c r="L2" s="62">
        <v>3317.0890000000004</v>
      </c>
    </row>
    <row r="3" spans="1:13" ht="14.2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v>-1874.5309999999999</v>
      </c>
      <c r="L3" s="62">
        <v>-1930.5660000000003</v>
      </c>
    </row>
    <row r="4" spans="1:13" ht="14.2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v>1070.1350000000002</v>
      </c>
      <c r="L4" s="62">
        <v>1386.5230000000001</v>
      </c>
    </row>
    <row r="5" spans="1:13" ht="14.2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v>0</v>
      </c>
      <c r="L5" s="62">
        <v>81.971000000000004</v>
      </c>
    </row>
    <row r="6" spans="1:13" ht="14.2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v>-686.13099999999997</v>
      </c>
      <c r="L6" s="62">
        <v>-566.1110000000001</v>
      </c>
    </row>
    <row r="7" spans="1:13" ht="14.2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v>0</v>
      </c>
      <c r="L7" s="62">
        <v>0</v>
      </c>
    </row>
    <row r="8" spans="1:13" ht="14.2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v>0</v>
      </c>
      <c r="L8" s="62">
        <v>-278.73200000000003</v>
      </c>
    </row>
    <row r="9" spans="1:13" ht="14.2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v>384.00400000000025</v>
      </c>
      <c r="L9" s="63">
        <f>SUM(L4:L8)</f>
        <v>623.65100000000007</v>
      </c>
    </row>
    <row r="10" spans="1:13">
      <c r="B10" s="18"/>
      <c r="C10" s="9"/>
      <c r="D10" s="9"/>
    </row>
    <row r="11" spans="1:13" s="6" customFormat="1" ht="15.4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160</v>
      </c>
      <c r="J11" s="2" t="s">
        <v>82</v>
      </c>
      <c r="K11" s="1" t="s">
        <v>159</v>
      </c>
      <c r="L11" s="2" t="s">
        <v>162</v>
      </c>
    </row>
    <row r="12" spans="1:13" ht="13.15">
      <c r="B12" s="11" t="s">
        <v>29</v>
      </c>
      <c r="C12" s="9" t="s">
        <v>65</v>
      </c>
      <c r="D12" s="46"/>
      <c r="E12" s="99">
        <v>454</v>
      </c>
      <c r="F12" s="99">
        <v>439</v>
      </c>
      <c r="G12" s="99">
        <v>347</v>
      </c>
      <c r="H12" s="99">
        <v>328</v>
      </c>
      <c r="I12" s="99">
        <v>282</v>
      </c>
      <c r="J12" s="99">
        <v>310</v>
      </c>
      <c r="K12" s="99">
        <v>340</v>
      </c>
      <c r="L12" s="99"/>
      <c r="M12" s="48"/>
    </row>
    <row r="13" spans="1:13">
      <c r="B13" s="11" t="s">
        <v>25</v>
      </c>
      <c r="C13" s="9" t="s">
        <v>65</v>
      </c>
      <c r="D13" s="9"/>
      <c r="E13" s="99">
        <v>322</v>
      </c>
      <c r="F13" s="99">
        <v>526</v>
      </c>
      <c r="G13" s="99">
        <v>260</v>
      </c>
      <c r="H13" s="99">
        <v>502.7</v>
      </c>
      <c r="I13" s="99">
        <v>651</v>
      </c>
      <c r="J13" s="99">
        <v>675</v>
      </c>
      <c r="K13" s="99">
        <v>1084</v>
      </c>
      <c r="L13" s="99">
        <v>1096</v>
      </c>
    </row>
    <row r="14" spans="1:13">
      <c r="B14" s="139" t="s">
        <v>30</v>
      </c>
      <c r="C14" s="9" t="s">
        <v>65</v>
      </c>
      <c r="D14" s="9"/>
      <c r="E14" s="99">
        <v>262</v>
      </c>
      <c r="F14" s="99">
        <v>259</v>
      </c>
      <c r="G14" s="99">
        <f>1499-1121</f>
        <v>378</v>
      </c>
      <c r="H14" s="99">
        <v>374</v>
      </c>
      <c r="I14" s="99">
        <f>1493-1253</f>
        <v>240</v>
      </c>
      <c r="J14" s="99">
        <v>264.09999999999991</v>
      </c>
      <c r="K14" s="99">
        <v>210</v>
      </c>
      <c r="L14" s="99"/>
    </row>
    <row r="15" spans="1:13">
      <c r="B15" s="11" t="s">
        <v>31</v>
      </c>
      <c r="C15" s="9" t="s">
        <v>65</v>
      </c>
      <c r="D15" s="9"/>
      <c r="E15" s="99">
        <v>11</v>
      </c>
      <c r="F15" s="99"/>
      <c r="G15" s="99"/>
      <c r="H15" s="99"/>
      <c r="I15" s="99"/>
      <c r="J15" s="99"/>
      <c r="K15" s="99"/>
      <c r="L15" s="99"/>
    </row>
    <row r="16" spans="1:13">
      <c r="B16" s="11" t="s">
        <v>32</v>
      </c>
      <c r="C16" s="9" t="s">
        <v>65</v>
      </c>
      <c r="D16" s="9"/>
      <c r="E16" s="99">
        <v>1.2</v>
      </c>
      <c r="F16" s="99">
        <v>17</v>
      </c>
      <c r="G16" s="99">
        <v>22.9</v>
      </c>
      <c r="H16" s="99">
        <v>14.1</v>
      </c>
      <c r="I16" s="99">
        <v>12.6</v>
      </c>
      <c r="J16" s="99">
        <v>13</v>
      </c>
      <c r="K16" s="99">
        <v>57.6</v>
      </c>
      <c r="L16" s="99">
        <v>249</v>
      </c>
    </row>
    <row r="17" spans="1:24" ht="13.15">
      <c r="B17" s="47" t="s">
        <v>34</v>
      </c>
      <c r="C17" s="9" t="s">
        <v>65</v>
      </c>
      <c r="D17" s="9"/>
      <c r="E17" s="101">
        <f t="shared" ref="E17" si="2">SUM(E12:E16)</f>
        <v>1050.2</v>
      </c>
      <c r="F17" s="101">
        <f>SUM(F12:F16)</f>
        <v>1241</v>
      </c>
      <c r="G17" s="101">
        <f t="shared" ref="G17:K17" si="3">SUM(G12:G16)</f>
        <v>1007.9</v>
      </c>
      <c r="H17" s="101">
        <f t="shared" si="3"/>
        <v>1218.8</v>
      </c>
      <c r="I17" s="101">
        <f t="shared" si="3"/>
        <v>1185.5999999999999</v>
      </c>
      <c r="J17" s="101">
        <f t="shared" si="3"/>
        <v>1262.0999999999999</v>
      </c>
      <c r="K17" s="101">
        <f t="shared" si="3"/>
        <v>1691.6</v>
      </c>
      <c r="L17" s="101"/>
    </row>
    <row r="18" spans="1:24" ht="13.15">
      <c r="B18" s="35"/>
      <c r="C18" s="9"/>
      <c r="D18" s="9"/>
      <c r="E18" s="101"/>
      <c r="F18" s="101"/>
      <c r="G18" s="101"/>
      <c r="H18" s="101"/>
      <c r="I18" s="100"/>
      <c r="J18" s="100"/>
    </row>
    <row r="19" spans="1:24" s="6" customFormat="1" ht="15.4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160</v>
      </c>
      <c r="J19" s="69" t="s">
        <v>82</v>
      </c>
      <c r="K19" s="1" t="s">
        <v>159</v>
      </c>
      <c r="L19" s="2" t="s">
        <v>162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v>4.2430000000000021</v>
      </c>
      <c r="H20" s="90">
        <v>94.109000000000009</v>
      </c>
      <c r="I20" s="90">
        <v>34.47</v>
      </c>
      <c r="J20" s="90">
        <v>112.98800000000001</v>
      </c>
      <c r="K20" s="90">
        <v>-38.58</v>
      </c>
      <c r="L20" s="90">
        <v>64.150000000000006</v>
      </c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v>139.11199999999999</v>
      </c>
      <c r="H21" s="90">
        <v>76.174000000000007</v>
      </c>
      <c r="I21" s="90">
        <v>140.755</v>
      </c>
      <c r="J21" s="90">
        <v>79.075000000000017</v>
      </c>
      <c r="K21" s="90">
        <v>145.9</v>
      </c>
      <c r="L21" s="90">
        <v>105.833</v>
      </c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v>29.645</v>
      </c>
      <c r="H22" s="90">
        <v>24.145999999999997</v>
      </c>
      <c r="I22" s="90">
        <v>22.67</v>
      </c>
      <c r="J22" s="90">
        <v>14.318999999999996</v>
      </c>
      <c r="K22" s="90">
        <v>74</v>
      </c>
      <c r="L22" s="90">
        <v>-9.5500000000000007</v>
      </c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v>-419.40100000000001</v>
      </c>
      <c r="H23" s="90">
        <v>473.19199999999995</v>
      </c>
      <c r="I23" s="90">
        <v>36.286999999999999</v>
      </c>
      <c r="J23" s="90">
        <v>56.017000000000003</v>
      </c>
      <c r="K23" s="90">
        <v>77.75</v>
      </c>
      <c r="L23" s="90">
        <v>87.343999999999994</v>
      </c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v>117.44000000000001</v>
      </c>
      <c r="H24" s="90">
        <v>-381.21699999999998</v>
      </c>
      <c r="I24" s="90">
        <v>108.87400000000002</v>
      </c>
      <c r="J24" s="90">
        <v>36.49099999999995</v>
      </c>
      <c r="K24" s="90">
        <v>75.900000000000006</v>
      </c>
      <c r="L24" s="90">
        <v>14.103</v>
      </c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L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334.97</v>
      </c>
      <c r="L25" s="91">
        <f t="shared" si="4"/>
        <v>261.88</v>
      </c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160</v>
      </c>
      <c r="J27" s="2" t="s">
        <v>82</v>
      </c>
      <c r="K27" s="1" t="s">
        <v>159</v>
      </c>
      <c r="L27" s="2" t="s">
        <v>162</v>
      </c>
    </row>
    <row r="28" spans="1:24">
      <c r="B28" s="8" t="s">
        <v>44</v>
      </c>
      <c r="C28" s="9" t="s">
        <v>65</v>
      </c>
      <c r="D28" s="9"/>
      <c r="E28" s="99">
        <v>21</v>
      </c>
      <c r="F28" s="99">
        <v>140</v>
      </c>
      <c r="G28" s="99">
        <f>118.1+56</f>
        <v>174.1</v>
      </c>
      <c r="H28" s="99">
        <v>263</v>
      </c>
      <c r="I28" s="99">
        <v>126.4</v>
      </c>
      <c r="J28" s="99">
        <v>213.2</v>
      </c>
      <c r="K28" s="99">
        <v>207</v>
      </c>
      <c r="L28" s="140">
        <v>186.58199999999999</v>
      </c>
    </row>
    <row r="29" spans="1:24">
      <c r="B29" s="11" t="s">
        <v>45</v>
      </c>
      <c r="C29" s="9" t="s">
        <v>65</v>
      </c>
      <c r="D29" s="9"/>
      <c r="E29" s="99"/>
      <c r="F29" s="99"/>
      <c r="G29" s="99"/>
      <c r="H29" s="99"/>
      <c r="I29" s="99"/>
      <c r="J29" s="99"/>
      <c r="K29" s="99"/>
      <c r="L29" s="140"/>
    </row>
    <row r="30" spans="1:24">
      <c r="B30" s="107" t="s">
        <v>46</v>
      </c>
      <c r="C30" s="9" t="s">
        <v>65</v>
      </c>
      <c r="D30" s="9"/>
      <c r="E30" s="99"/>
      <c r="F30" s="99"/>
      <c r="G30" s="99"/>
      <c r="H30" s="99"/>
      <c r="I30" s="99"/>
      <c r="J30" s="99"/>
      <c r="K30" s="99">
        <v>192</v>
      </c>
      <c r="L30" s="140">
        <v>13.645</v>
      </c>
    </row>
    <row r="31" spans="1:24" s="74" customFormat="1" ht="13.15">
      <c r="B31" s="98" t="s">
        <v>47</v>
      </c>
      <c r="C31" s="76" t="s">
        <v>65</v>
      </c>
      <c r="D31" s="76"/>
      <c r="E31" s="108">
        <f t="shared" ref="E31" si="5">SUM(E28:E30)</f>
        <v>21</v>
      </c>
      <c r="F31" s="108">
        <f>SUM(F28:F30)</f>
        <v>140</v>
      </c>
      <c r="G31" s="108">
        <f t="shared" ref="G31:K31" si="6">SUM(G28:G30)</f>
        <v>174.1</v>
      </c>
      <c r="H31" s="108">
        <f t="shared" si="6"/>
        <v>263</v>
      </c>
      <c r="I31" s="108">
        <f t="shared" si="6"/>
        <v>126.4</v>
      </c>
      <c r="J31" s="108">
        <f t="shared" si="6"/>
        <v>213.2</v>
      </c>
      <c r="K31" s="99">
        <f t="shared" si="6"/>
        <v>399</v>
      </c>
      <c r="L31" s="140">
        <f>SUM(L28:L30)</f>
        <v>200.227</v>
      </c>
    </row>
    <row r="32" spans="1:24">
      <c r="B32" s="11" t="s">
        <v>48</v>
      </c>
      <c r="C32" s="9" t="s">
        <v>65</v>
      </c>
      <c r="D32" s="9"/>
      <c r="E32" s="99"/>
      <c r="F32" s="99"/>
      <c r="G32" s="99"/>
      <c r="H32" s="99"/>
      <c r="I32" s="99"/>
      <c r="J32" s="99"/>
      <c r="K32" s="99"/>
      <c r="L32" s="140"/>
    </row>
    <row r="33" spans="1:26">
      <c r="B33" s="11" t="s">
        <v>49</v>
      </c>
      <c r="C33" s="9" t="s">
        <v>65</v>
      </c>
      <c r="D33" s="17"/>
      <c r="E33" s="99"/>
      <c r="F33" s="99">
        <v>1228</v>
      </c>
      <c r="G33" s="99">
        <f>1182.4-G34</f>
        <v>1048.4000000000001</v>
      </c>
      <c r="H33" s="99">
        <v>1331.8</v>
      </c>
      <c r="I33" s="99">
        <f>1461.9-I34</f>
        <v>1434.2</v>
      </c>
      <c r="J33" s="99">
        <v>1503.4</v>
      </c>
      <c r="K33" s="99">
        <v>1347</v>
      </c>
      <c r="L33" s="140">
        <v>1326.13</v>
      </c>
      <c r="M33" s="48"/>
    </row>
    <row r="34" spans="1:26" ht="13.15">
      <c r="B34" s="11" t="s">
        <v>50</v>
      </c>
      <c r="C34" s="9" t="s">
        <v>65</v>
      </c>
      <c r="D34" s="46"/>
      <c r="E34" s="99"/>
      <c r="F34" s="99">
        <v>168</v>
      </c>
      <c r="G34" s="99">
        <v>134</v>
      </c>
      <c r="H34" s="99">
        <v>23.7</v>
      </c>
      <c r="I34" s="99">
        <v>27.7</v>
      </c>
      <c r="J34" s="99">
        <v>43.2</v>
      </c>
      <c r="K34" s="99">
        <v>39</v>
      </c>
      <c r="L34" s="140">
        <v>56.08</v>
      </c>
    </row>
    <row r="35" spans="1:26">
      <c r="B35" s="11" t="s">
        <v>52</v>
      </c>
      <c r="C35" s="9" t="s">
        <v>65</v>
      </c>
      <c r="D35" s="9"/>
      <c r="E35" s="99"/>
      <c r="F35" s="99"/>
      <c r="G35" s="99"/>
      <c r="H35" s="99"/>
      <c r="I35" s="99"/>
      <c r="J35" s="99"/>
      <c r="K35" s="99"/>
      <c r="L35" s="140"/>
    </row>
    <row r="36" spans="1:26">
      <c r="B36" s="11" t="s">
        <v>51</v>
      </c>
      <c r="C36" s="9" t="s">
        <v>65</v>
      </c>
      <c r="D36" s="9"/>
      <c r="E36" s="99"/>
      <c r="F36" s="99">
        <v>234.4</v>
      </c>
      <c r="G36" s="99">
        <v>185</v>
      </c>
      <c r="H36" s="99">
        <v>127.6</v>
      </c>
      <c r="I36" s="99">
        <v>187</v>
      </c>
      <c r="J36" s="99">
        <v>231.7</v>
      </c>
      <c r="K36" s="99">
        <f>146.7+100</f>
        <v>246.7</v>
      </c>
      <c r="L36" s="140">
        <v>440.77</v>
      </c>
    </row>
    <row r="37" spans="1:26">
      <c r="B37" s="11" t="s">
        <v>53</v>
      </c>
      <c r="C37" s="9" t="s">
        <v>65</v>
      </c>
      <c r="D37" s="9"/>
      <c r="E37" s="99">
        <f t="shared" ref="E37" si="7">E38-E33-E34-E36</f>
        <v>0</v>
      </c>
      <c r="F37" s="99">
        <f>F38-F33-F34-F36</f>
        <v>53.000000000000085</v>
      </c>
      <c r="G37" s="99">
        <f t="shared" ref="G37:J37" si="8">G38-G33-G34-G36</f>
        <v>49.599999999999909</v>
      </c>
      <c r="H37" s="99">
        <f t="shared" si="8"/>
        <v>60.499999999999972</v>
      </c>
      <c r="I37" s="99">
        <f t="shared" si="8"/>
        <v>28.099999999999966</v>
      </c>
      <c r="J37" s="99">
        <f t="shared" si="8"/>
        <v>52.499999999999886</v>
      </c>
      <c r="K37" s="99">
        <v>21.2</v>
      </c>
      <c r="L37" s="140">
        <v>76.569999999999993</v>
      </c>
    </row>
    <row r="38" spans="1:26" s="74" customFormat="1" ht="13.15">
      <c r="B38" s="98" t="s">
        <v>54</v>
      </c>
      <c r="C38" s="76" t="s">
        <v>65</v>
      </c>
      <c r="D38" s="76"/>
      <c r="E38" s="108"/>
      <c r="F38" s="108">
        <v>1683.4</v>
      </c>
      <c r="G38" s="108">
        <f>2926-1119-420+30</f>
        <v>1417</v>
      </c>
      <c r="H38" s="108">
        <v>1543.6</v>
      </c>
      <c r="I38" s="108">
        <f>3390-459-1254</f>
        <v>1677</v>
      </c>
      <c r="J38" s="108">
        <v>1830.8</v>
      </c>
      <c r="K38" s="99">
        <f>SUM(K33:K37)</f>
        <v>1653.9</v>
      </c>
      <c r="L38" s="141">
        <f>SUM(L33:L37)</f>
        <v>1899.55</v>
      </c>
    </row>
    <row r="39" spans="1:26" ht="13.15">
      <c r="B39" s="14" t="s">
        <v>70</v>
      </c>
      <c r="C39" s="9" t="s">
        <v>65</v>
      </c>
      <c r="D39" s="9"/>
      <c r="E39" s="101">
        <f t="shared" ref="E39" si="9">E31+E38</f>
        <v>21</v>
      </c>
      <c r="F39" s="101">
        <f>F31+F38</f>
        <v>1823.4</v>
      </c>
      <c r="G39" s="101">
        <f t="shared" ref="G39:J39" si="10">G31+G38</f>
        <v>1591.1</v>
      </c>
      <c r="H39" s="101">
        <f t="shared" si="10"/>
        <v>1806.6</v>
      </c>
      <c r="I39" s="101">
        <f t="shared" si="10"/>
        <v>1803.4</v>
      </c>
      <c r="J39" s="101">
        <f t="shared" si="10"/>
        <v>2044</v>
      </c>
      <c r="K39" s="99">
        <f>K31+K38</f>
        <v>2052.9</v>
      </c>
      <c r="L39" s="141">
        <v>2099.777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160</v>
      </c>
      <c r="J41" s="2" t="s">
        <v>82</v>
      </c>
      <c r="K41" s="1" t="s">
        <v>159</v>
      </c>
      <c r="L41" s="2" t="s">
        <v>162</v>
      </c>
    </row>
    <row r="42" spans="1:26">
      <c r="B42" s="109" t="s">
        <v>153</v>
      </c>
      <c r="C42" s="110" t="s">
        <v>65</v>
      </c>
      <c r="D42" s="110"/>
      <c r="E42" s="99">
        <v>698</v>
      </c>
      <c r="F42" s="99">
        <v>568</v>
      </c>
      <c r="G42" s="99">
        <v>739</v>
      </c>
      <c r="H42" s="99">
        <v>856</v>
      </c>
      <c r="I42" s="99">
        <v>1020</v>
      </c>
      <c r="J42" s="99">
        <v>1171</v>
      </c>
      <c r="K42" s="99">
        <v>1324.09</v>
      </c>
      <c r="L42" s="99">
        <v>1227.925</v>
      </c>
    </row>
    <row r="43" spans="1:26">
      <c r="B43" s="109" t="s">
        <v>123</v>
      </c>
      <c r="C43" s="110" t="s">
        <v>65</v>
      </c>
      <c r="D43" s="110"/>
      <c r="E43" s="99"/>
      <c r="F43" s="99">
        <v>465</v>
      </c>
      <c r="G43" s="99">
        <v>167</v>
      </c>
      <c r="H43" s="99">
        <v>308</v>
      </c>
      <c r="I43" s="99">
        <v>209</v>
      </c>
      <c r="J43" s="99">
        <v>117</v>
      </c>
      <c r="K43" s="99">
        <v>-22.54</v>
      </c>
      <c r="L43" s="99">
        <v>65</v>
      </c>
    </row>
    <row r="44" spans="1:26">
      <c r="B44" s="109" t="s">
        <v>154</v>
      </c>
      <c r="C44" s="110" t="s">
        <v>65</v>
      </c>
      <c r="D44" s="111"/>
      <c r="E44" s="99"/>
      <c r="F44" s="99"/>
      <c r="G44" s="99">
        <v>17</v>
      </c>
      <c r="H44" s="99">
        <v>9.6</v>
      </c>
      <c r="I44" s="99">
        <v>9.6</v>
      </c>
      <c r="J44" s="99">
        <v>8.4</v>
      </c>
      <c r="K44" s="99">
        <v>8.41</v>
      </c>
      <c r="L44" s="99">
        <v>29.183</v>
      </c>
    </row>
    <row r="45" spans="1:26" ht="13.15">
      <c r="B45" s="109" t="s">
        <v>155</v>
      </c>
      <c r="C45" s="110" t="s">
        <v>65</v>
      </c>
      <c r="D45" s="112"/>
      <c r="E45" s="99"/>
      <c r="F45" s="99"/>
      <c r="G45" s="99">
        <v>12.7</v>
      </c>
      <c r="H45" s="99">
        <v>12.7</v>
      </c>
      <c r="I45" s="99">
        <v>5.2</v>
      </c>
      <c r="J45" s="99">
        <v>4.5</v>
      </c>
      <c r="K45" s="99">
        <v>12.308999999999999</v>
      </c>
      <c r="L45" s="99">
        <v>0</v>
      </c>
    </row>
    <row r="46" spans="1:26" ht="13.15">
      <c r="B46" s="109" t="s">
        <v>156</v>
      </c>
      <c r="C46" s="110" t="s">
        <v>65</v>
      </c>
      <c r="D46" s="112"/>
      <c r="E46" s="99"/>
      <c r="F46" s="99"/>
      <c r="G46" s="99">
        <v>4.9000000000000004</v>
      </c>
      <c r="H46" s="99">
        <v>4.0999999999999996</v>
      </c>
      <c r="I46" s="99">
        <v>4.0999999999999996</v>
      </c>
      <c r="J46" s="99">
        <v>2.1</v>
      </c>
      <c r="K46" s="99">
        <v>2.16</v>
      </c>
      <c r="L46" s="99">
        <v>0</v>
      </c>
    </row>
    <row r="47" spans="1:26" ht="13.15">
      <c r="B47" s="107" t="s">
        <v>64</v>
      </c>
      <c r="C47" s="110" t="s">
        <v>65</v>
      </c>
      <c r="D47" s="112"/>
      <c r="E47" s="99"/>
      <c r="F47" s="99"/>
      <c r="G47" s="99">
        <v>241.4</v>
      </c>
      <c r="H47" s="99">
        <v>317.59999999999997</v>
      </c>
      <c r="I47" s="99">
        <v>213.10000000000002</v>
      </c>
      <c r="J47" s="99">
        <v>243</v>
      </c>
      <c r="K47" s="99">
        <v>133</v>
      </c>
      <c r="L47" s="99">
        <v>312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3" t="s">
        <v>0</v>
      </c>
      <c r="C48" s="110" t="s">
        <v>65</v>
      </c>
      <c r="D48" s="110"/>
      <c r="E48" s="101"/>
      <c r="F48" s="101"/>
      <c r="G48" s="99">
        <v>1182</v>
      </c>
      <c r="H48" s="99">
        <v>1508</v>
      </c>
      <c r="I48" s="99">
        <v>1461</v>
      </c>
      <c r="J48" s="99">
        <v>1546</v>
      </c>
      <c r="K48" s="99">
        <f>SUM(K42:K47)</f>
        <v>1457.4290000000001</v>
      </c>
      <c r="L48" s="99">
        <f>SUM(L42:L47)</f>
        <v>1634.1079999999999</v>
      </c>
    </row>
    <row r="49" spans="1:14">
      <c r="B49" s="114"/>
      <c r="C49" s="110"/>
      <c r="D49" s="110"/>
      <c r="E49" s="100"/>
      <c r="F49" s="100"/>
      <c r="G49" s="100"/>
      <c r="H49" s="100"/>
      <c r="I49" s="100"/>
      <c r="J49" s="100"/>
    </row>
    <row r="50" spans="1:14" s="6" customFormat="1" ht="15.4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160</v>
      </c>
      <c r="J50" s="2" t="s">
        <v>82</v>
      </c>
      <c r="K50" s="1" t="s">
        <v>159</v>
      </c>
      <c r="L50" s="2" t="s">
        <v>162</v>
      </c>
      <c r="M50" s="1"/>
      <c r="N50" s="2"/>
    </row>
    <row r="51" spans="1:14">
      <c r="B51" s="109" t="s">
        <v>37</v>
      </c>
      <c r="C51" s="110" t="s">
        <v>65</v>
      </c>
      <c r="D51" s="110"/>
      <c r="E51" s="102">
        <v>1578.3783783783783</v>
      </c>
      <c r="F51" s="102">
        <v>1341.6216216216217</v>
      </c>
      <c r="G51" s="102">
        <v>2132.1</v>
      </c>
      <c r="H51" s="102">
        <v>1720.4</v>
      </c>
      <c r="I51" s="103">
        <v>2063.5</v>
      </c>
      <c r="J51" s="103">
        <v>2481.8000000000002</v>
      </c>
      <c r="K51" s="103">
        <v>2866</v>
      </c>
      <c r="L51" s="103">
        <v>3549.482</v>
      </c>
    </row>
    <row r="52" spans="1:14">
      <c r="B52" s="107" t="s">
        <v>38</v>
      </c>
      <c r="C52" s="110" t="s">
        <v>65</v>
      </c>
      <c r="D52" s="110"/>
      <c r="E52" s="102">
        <v>10.810810810810811</v>
      </c>
      <c r="F52" s="102">
        <v>9.1891891891891895</v>
      </c>
      <c r="G52" s="102">
        <v>0.4</v>
      </c>
      <c r="H52" s="102">
        <v>0</v>
      </c>
      <c r="I52" s="103">
        <v>0</v>
      </c>
      <c r="J52" s="103">
        <v>0</v>
      </c>
      <c r="K52" s="103">
        <v>0.72</v>
      </c>
      <c r="L52" s="103">
        <v>0</v>
      </c>
    </row>
    <row r="53" spans="1:14">
      <c r="B53" s="107" t="s">
        <v>39</v>
      </c>
      <c r="C53" s="110" t="s">
        <v>65</v>
      </c>
      <c r="D53" s="110"/>
      <c r="E53" s="102">
        <v>-184.32432432432432</v>
      </c>
      <c r="F53" s="102">
        <v>-156.67567567567568</v>
      </c>
      <c r="G53" s="102">
        <v>-58.342999999999996</v>
      </c>
      <c r="H53" s="102">
        <v>-125.67100000000001</v>
      </c>
      <c r="I53" s="103">
        <v>-81.326999999999998</v>
      </c>
      <c r="J53" s="103">
        <v>-201.37399999999997</v>
      </c>
      <c r="K53" s="103">
        <v>-128.0199999999999</v>
      </c>
      <c r="L53" s="103">
        <v>0</v>
      </c>
    </row>
    <row r="54" spans="1:14" ht="13.15">
      <c r="B54" s="107" t="s">
        <v>40</v>
      </c>
      <c r="C54" s="110" t="s">
        <v>65</v>
      </c>
      <c r="D54" s="112"/>
      <c r="E54" s="102">
        <v>-1022.1621621621621</v>
      </c>
      <c r="F54" s="102">
        <v>-868.83783783783792</v>
      </c>
      <c r="G54" s="102">
        <v>-1717.4</v>
      </c>
      <c r="H54" s="102">
        <v>-1249.0999999999999</v>
      </c>
      <c r="I54" s="103">
        <v>-1554.4</v>
      </c>
      <c r="J54" s="103">
        <v>-1818.4</v>
      </c>
      <c r="K54" s="103">
        <v>-2171</v>
      </c>
      <c r="L54" s="103">
        <v>-2430.8139999999999</v>
      </c>
    </row>
    <row r="55" spans="1:14">
      <c r="B55" s="107" t="s">
        <v>41</v>
      </c>
      <c r="C55" s="110" t="s">
        <v>65</v>
      </c>
      <c r="D55" s="110"/>
      <c r="E55" s="102">
        <v>-142.70270270270271</v>
      </c>
      <c r="F55" s="102">
        <v>-121.29729729729729</v>
      </c>
      <c r="G55" s="102">
        <v>-141.5</v>
      </c>
      <c r="H55" s="102">
        <v>-130.69999999999999</v>
      </c>
      <c r="I55" s="103">
        <v>-139.4</v>
      </c>
      <c r="J55" s="103">
        <v>-140.10000000000002</v>
      </c>
      <c r="K55" s="103">
        <v>-170</v>
      </c>
      <c r="L55" s="103">
        <v>-154.56700000000001</v>
      </c>
    </row>
    <row r="56" spans="1:14">
      <c r="B56" s="107" t="s">
        <v>42</v>
      </c>
      <c r="C56" s="110" t="s">
        <v>65</v>
      </c>
      <c r="D56" s="110"/>
      <c r="E56" s="102">
        <v>-36.756756756756758</v>
      </c>
      <c r="F56" s="102">
        <v>-31.243243243243242</v>
      </c>
      <c r="G56" s="102">
        <v>-19.600000000000001</v>
      </c>
      <c r="H56" s="102">
        <v>-21.799999999999997</v>
      </c>
      <c r="I56" s="103">
        <v>-24.799999999999997</v>
      </c>
      <c r="J56" s="103">
        <v>-35.299999999999997</v>
      </c>
      <c r="K56" s="103">
        <v>-25</v>
      </c>
      <c r="L56" s="103">
        <v>-70.144000000000005</v>
      </c>
    </row>
    <row r="57" spans="1:14">
      <c r="B57" s="107" t="s">
        <v>11</v>
      </c>
      <c r="C57" s="110" t="s">
        <v>65</v>
      </c>
      <c r="D57" s="110"/>
      <c r="E57" s="102">
        <v>-142.70270270270271</v>
      </c>
      <c r="F57" s="102">
        <v>-121.29729729729729</v>
      </c>
      <c r="G57" s="102">
        <v>-161.80000000000001</v>
      </c>
      <c r="H57" s="102">
        <v>-176.9</v>
      </c>
      <c r="I57" s="103">
        <v>-240.3</v>
      </c>
      <c r="J57" s="103">
        <v>-240.60000000000002</v>
      </c>
      <c r="K57" s="103">
        <v>-284.39999999999998</v>
      </c>
      <c r="L57" s="103">
        <v>-526.68000000000006</v>
      </c>
    </row>
    <row r="58" spans="1:14">
      <c r="B58" s="107" t="s">
        <v>109</v>
      </c>
      <c r="C58" s="110"/>
      <c r="D58" s="110"/>
      <c r="E58" s="102">
        <v>-51.891891891891888</v>
      </c>
      <c r="F58" s="102">
        <v>-44.108108108108112</v>
      </c>
      <c r="G58" s="102">
        <v>-22.799999999999997</v>
      </c>
      <c r="H58" s="102">
        <v>-24.6</v>
      </c>
      <c r="I58" s="103">
        <v>-24.1</v>
      </c>
      <c r="J58" s="103">
        <v>-46.5</v>
      </c>
      <c r="K58" s="103">
        <v>-28.8</v>
      </c>
      <c r="L58" s="103">
        <v>-65.040000000000006</v>
      </c>
    </row>
    <row r="59" spans="1:14" s="74" customFormat="1" ht="13.15">
      <c r="B59" s="115" t="s">
        <v>57</v>
      </c>
      <c r="C59" s="116" t="s">
        <v>65</v>
      </c>
      <c r="D59" s="116"/>
      <c r="E59" s="117">
        <f>SUM(E51:E58)</f>
        <v>8.6486486486486314</v>
      </c>
      <c r="F59" s="117">
        <f>SUM(F51:F58)</f>
        <v>7.3513513513513686</v>
      </c>
      <c r="G59" s="117">
        <f>SUM(G51:G58)</f>
        <v>11.057000000000059</v>
      </c>
      <c r="H59" s="117">
        <f>SUM(H51:H58)</f>
        <v>-8.3709999999998743</v>
      </c>
      <c r="I59" s="117">
        <f t="shared" ref="I59" si="11">SUM(I51:I58)</f>
        <v>-0.82700000000009055</v>
      </c>
      <c r="J59" s="117">
        <f>SUM(J51:J58)</f>
        <v>-0.47399999999976217</v>
      </c>
      <c r="K59" s="117">
        <f t="shared" ref="K59:L59" si="12">SUM(K51:K58)</f>
        <v>59.499999999999844</v>
      </c>
      <c r="L59" s="117">
        <f t="shared" si="12"/>
        <v>302.23700000000002</v>
      </c>
    </row>
    <row r="60" spans="1:14" ht="25.5">
      <c r="B60" s="107" t="s">
        <v>55</v>
      </c>
      <c r="C60" s="110" t="s">
        <v>65</v>
      </c>
      <c r="D60" s="110"/>
      <c r="E60" s="102"/>
      <c r="F60" s="102"/>
      <c r="G60" s="102">
        <v>-2.927</v>
      </c>
      <c r="H60" s="102">
        <v>-0.51</v>
      </c>
      <c r="I60" s="103">
        <v>0</v>
      </c>
      <c r="J60" s="103">
        <v>0</v>
      </c>
      <c r="K60" s="103">
        <v>0</v>
      </c>
      <c r="L60" s="103">
        <v>0</v>
      </c>
    </row>
    <row r="61" spans="1:14">
      <c r="B61" s="107" t="s">
        <v>56</v>
      </c>
      <c r="C61" s="110" t="s">
        <v>65</v>
      </c>
      <c r="D61" s="110"/>
      <c r="E61" s="102"/>
      <c r="F61" s="102"/>
      <c r="G61" s="102">
        <v>0</v>
      </c>
      <c r="H61" s="102">
        <v>0</v>
      </c>
      <c r="I61" s="103">
        <v>0</v>
      </c>
      <c r="J61" s="103">
        <v>0</v>
      </c>
      <c r="K61" s="103">
        <v>0</v>
      </c>
      <c r="L61" s="103">
        <v>-128.1283</v>
      </c>
    </row>
    <row r="62" spans="1:14">
      <c r="B62" s="107" t="s">
        <v>58</v>
      </c>
      <c r="C62" s="110" t="s">
        <v>65</v>
      </c>
      <c r="D62" s="111"/>
      <c r="E62" s="102"/>
      <c r="F62" s="102"/>
      <c r="G62" s="102">
        <v>0</v>
      </c>
      <c r="H62" s="102">
        <v>0</v>
      </c>
      <c r="I62" s="103">
        <v>0</v>
      </c>
      <c r="J62" s="103">
        <v>0</v>
      </c>
      <c r="K62" s="103">
        <v>0</v>
      </c>
      <c r="L62" s="103">
        <v>0</v>
      </c>
    </row>
    <row r="63" spans="1:14" ht="13.15">
      <c r="B63" s="107" t="s">
        <v>59</v>
      </c>
      <c r="C63" s="110" t="s">
        <v>65</v>
      </c>
      <c r="D63" s="112"/>
      <c r="E63" s="102"/>
      <c r="F63" s="102"/>
      <c r="G63" s="102">
        <v>0</v>
      </c>
      <c r="H63" s="102">
        <v>0</v>
      </c>
      <c r="I63" s="103">
        <v>0</v>
      </c>
      <c r="J63" s="103">
        <v>0</v>
      </c>
      <c r="K63" s="103">
        <v>0</v>
      </c>
      <c r="L63" s="103">
        <v>0</v>
      </c>
    </row>
    <row r="64" spans="1:14">
      <c r="B64" s="107" t="s">
        <v>60</v>
      </c>
      <c r="C64" s="110" t="s">
        <v>65</v>
      </c>
      <c r="D64" s="110"/>
      <c r="E64" s="102"/>
      <c r="F64" s="102"/>
      <c r="G64" s="102">
        <v>0</v>
      </c>
      <c r="H64" s="102">
        <v>0</v>
      </c>
      <c r="I64" s="103">
        <v>0</v>
      </c>
      <c r="J64" s="103">
        <v>0</v>
      </c>
      <c r="K64" s="103">
        <v>0</v>
      </c>
      <c r="L64" s="103">
        <v>0</v>
      </c>
    </row>
    <row r="65" spans="1:14">
      <c r="B65" s="118" t="s">
        <v>61</v>
      </c>
      <c r="C65" s="110" t="s">
        <v>65</v>
      </c>
      <c r="D65" s="110"/>
      <c r="E65" s="102"/>
      <c r="F65" s="102"/>
      <c r="G65" s="102">
        <v>0</v>
      </c>
      <c r="H65" s="102">
        <v>0</v>
      </c>
      <c r="I65" s="103">
        <v>0</v>
      </c>
      <c r="J65" s="103">
        <v>0</v>
      </c>
      <c r="K65" s="103">
        <v>-15</v>
      </c>
      <c r="L65" s="103">
        <v>17.135999999999999</v>
      </c>
    </row>
    <row r="66" spans="1:14" ht="16.350000000000001" customHeight="1">
      <c r="B66" s="118" t="s">
        <v>148</v>
      </c>
      <c r="C66" s="110"/>
      <c r="D66" s="110"/>
      <c r="E66" s="102">
        <v>1.3</v>
      </c>
      <c r="F66" s="102">
        <f t="shared" ref="F66" si="13">E67</f>
        <v>9.9486486486486321</v>
      </c>
      <c r="G66" s="102">
        <f t="shared" ref="G66" si="14">F67</f>
        <v>17.3</v>
      </c>
      <c r="H66" s="102">
        <f t="shared" ref="H66" si="15">G67</f>
        <v>25.43000000000006</v>
      </c>
      <c r="I66" s="102">
        <f t="shared" ref="I66" si="16">H67</f>
        <v>16.549000000000184</v>
      </c>
      <c r="J66" s="102">
        <f>I67</f>
        <v>15.722000000000094</v>
      </c>
      <c r="K66" s="102">
        <f>J67</f>
        <v>15.248000000000332</v>
      </c>
      <c r="L66" s="102">
        <f>K67</f>
        <v>59.748000000000175</v>
      </c>
    </row>
    <row r="67" spans="1:14" ht="13.15">
      <c r="B67" s="113" t="s">
        <v>0</v>
      </c>
      <c r="C67" s="110" t="s">
        <v>65</v>
      </c>
      <c r="D67" s="110"/>
      <c r="E67" s="106">
        <f>E59+E66</f>
        <v>9.9486486486486321</v>
      </c>
      <c r="F67" s="106">
        <f>SUM(F59:F66)</f>
        <v>17.3</v>
      </c>
      <c r="G67" s="106">
        <f>SUM(G59:G66)</f>
        <v>25.43000000000006</v>
      </c>
      <c r="H67" s="106">
        <f>SUM(H59:H66)</f>
        <v>16.549000000000184</v>
      </c>
      <c r="I67" s="106">
        <f t="shared" ref="I67" si="17">SUM(I59:I66)</f>
        <v>15.722000000000094</v>
      </c>
      <c r="J67" s="106">
        <f>SUM(J59:J66)</f>
        <v>15.248000000000332</v>
      </c>
      <c r="K67" s="106">
        <f>SUM(K59:K66)</f>
        <v>59.748000000000175</v>
      </c>
      <c r="L67" s="106">
        <f>SUM(L59:L66)</f>
        <v>250.99270000000018</v>
      </c>
    </row>
    <row r="68" spans="1:14">
      <c r="B68" s="18"/>
      <c r="C68" s="9"/>
      <c r="D68" s="9"/>
    </row>
    <row r="69" spans="1:14" s="6" customFormat="1" ht="15.4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160</v>
      </c>
      <c r="J69" s="2" t="s">
        <v>82</v>
      </c>
      <c r="K69" s="1"/>
      <c r="L69" s="2" t="s">
        <v>162</v>
      </c>
      <c r="M69" s="1"/>
      <c r="N69" s="2"/>
    </row>
    <row r="70" spans="1:14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topLeftCell="A10" zoomScale="90" zoomScaleNormal="90" workbookViewId="0">
      <selection activeCell="P26" sqref="P2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4" width="8" style="7"/>
    <col min="15" max="15" width="9" style="7" bestFit="1" customWidth="1"/>
    <col min="16" max="16" width="9.86328125" style="7" customWidth="1"/>
    <col min="17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157</v>
      </c>
      <c r="N1" s="68" t="s">
        <v>158</v>
      </c>
      <c r="O1" s="68" t="s">
        <v>161</v>
      </c>
      <c r="P1" s="68" t="s">
        <v>163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v>832.62800000000016</v>
      </c>
      <c r="G2" s="62">
        <f>2747.15-E2-F2</f>
        <v>901.91399999999999</v>
      </c>
      <c r="H2" s="62">
        <v>1005.02</v>
      </c>
      <c r="I2" s="62">
        <v>1253.3</v>
      </c>
      <c r="J2" s="62">
        <v>1049.3900000000001</v>
      </c>
      <c r="K2" s="62">
        <f>3494.967-I2-J2</f>
        <v>1192.2770000000003</v>
      </c>
      <c r="L2" s="62">
        <v>1394.5620000000001</v>
      </c>
      <c r="M2" s="62">
        <v>1463.1</v>
      </c>
      <c r="N2" s="62">
        <f>2944.666-M2</f>
        <v>1481.5660000000003</v>
      </c>
      <c r="O2" s="62">
        <f>4607.948-M2-N2</f>
        <v>1663.2820000000002</v>
      </c>
      <c r="P2" s="62">
        <f>6261.755-M2-N2-O2</f>
        <v>1653.8070000000002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v>-673.18000000000006</v>
      </c>
      <c r="G3" s="62">
        <f>-2181.3-E3-F3</f>
        <v>-717.84000000000015</v>
      </c>
      <c r="H3" s="62">
        <v>-694.48999999999978</v>
      </c>
      <c r="I3" s="62">
        <v>-816.245</v>
      </c>
      <c r="J3" s="62">
        <v>-718.1450000000001</v>
      </c>
      <c r="K3" s="62">
        <f>-2357.545-I3-J3</f>
        <v>-823.15500000000009</v>
      </c>
      <c r="L3" s="62">
        <v>-826.21500000000003</v>
      </c>
      <c r="M3" s="62">
        <v>-919.5</v>
      </c>
      <c r="N3" s="62">
        <f>-1874.531-M3</f>
        <v>-955.03099999999995</v>
      </c>
      <c r="O3" s="62">
        <f>-2911.012-M3-N3</f>
        <v>-1036.4810000000002</v>
      </c>
      <c r="P3" s="62">
        <f>-3805.097-M3-N3-O3</f>
        <v>-894.08500000000004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>SUM(M2:M3)</f>
        <v>543.59999999999991</v>
      </c>
      <c r="N4" s="62">
        <f t="shared" ref="N4" si="1">SUM(N2:N3)</f>
        <v>526.53500000000031</v>
      </c>
      <c r="O4" s="62">
        <f t="shared" ref="O4:P4" si="2">SUM(O2:O3)</f>
        <v>626.80099999999993</v>
      </c>
      <c r="P4" s="62">
        <f t="shared" si="2"/>
        <v>759.72200000000021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>
        <v>81.971000000000004</v>
      </c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v>-191.11199999999997</v>
      </c>
      <c r="G6" s="62">
        <f>-615.592-E6-F6</f>
        <v>-156.11500000000001</v>
      </c>
      <c r="H6" s="62">
        <v>-241.01900000000001</v>
      </c>
      <c r="I6" s="62">
        <v>-252.75899999999999</v>
      </c>
      <c r="J6" s="62">
        <v>-318.41999999999996</v>
      </c>
      <c r="K6" s="62">
        <f>-906.561-I6-J6</f>
        <v>-335.38200000000006</v>
      </c>
      <c r="L6" s="62">
        <v>-289.77300000000002</v>
      </c>
      <c r="M6" s="62">
        <f>-303.6-10.2</f>
        <v>-313.8</v>
      </c>
      <c r="N6" s="62">
        <f>-686.131-M6</f>
        <v>-372.33099999999996</v>
      </c>
      <c r="O6" s="62">
        <f>-1031.29-M6-N6</f>
        <v>-345.15900000000005</v>
      </c>
      <c r="P6" s="62">
        <f>-1252.242-M6-N6-O6</f>
        <v>-220.95200000000006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v>-135.35</v>
      </c>
      <c r="M8" s="62"/>
      <c r="N8" s="62"/>
      <c r="O8" s="62"/>
      <c r="P8" s="62">
        <v>-278.73200000000003</v>
      </c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3">SUM(F4:F8)</f>
        <v>-31.663999999999874</v>
      </c>
      <c r="G9" s="62">
        <f t="shared" si="3"/>
        <v>27.958999999999833</v>
      </c>
      <c r="H9" s="62">
        <f t="shared" si="3"/>
        <v>32.944000000000194</v>
      </c>
      <c r="I9" s="62">
        <f t="shared" si="3"/>
        <v>184.29599999999996</v>
      </c>
      <c r="J9" s="62">
        <f t="shared" si="3"/>
        <v>12.825000000000045</v>
      </c>
      <c r="K9" s="62">
        <f t="shared" si="3"/>
        <v>33.740000000000123</v>
      </c>
      <c r="L9" s="62">
        <f t="shared" si="3"/>
        <v>143.22400000000007</v>
      </c>
      <c r="M9" s="62">
        <f>SUM(M4:M8)</f>
        <v>229.7999999999999</v>
      </c>
      <c r="N9" s="62">
        <f>SUM(N4:N8)</f>
        <v>154.20400000000035</v>
      </c>
      <c r="O9" s="62">
        <f>SUM(O4:O8)</f>
        <v>281.64199999999988</v>
      </c>
      <c r="P9" s="62">
        <f>SUM(P4:P8)</f>
        <v>342.00900000000019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2" t="s">
        <v>157</v>
      </c>
      <c r="N11" s="2" t="s">
        <v>158</v>
      </c>
      <c r="O11" s="2" t="s">
        <v>161</v>
      </c>
      <c r="P11" s="2" t="s">
        <v>163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  <c r="O12" s="95">
        <v>-42.18</v>
      </c>
      <c r="P12" s="95">
        <v>106.33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  <c r="O13" s="95">
        <v>91.48</v>
      </c>
      <c r="P13" s="95">
        <v>14.353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58</v>
      </c>
      <c r="O14" s="95">
        <v>29.87</v>
      </c>
      <c r="P14" s="95">
        <v>-39.42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70.55</v>
      </c>
      <c r="O15" s="95">
        <v>75.459999999999994</v>
      </c>
      <c r="P15" s="95">
        <v>11.884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4">F17-SUM(F12:F15)</f>
        <v>45.51700000000001</v>
      </c>
      <c r="G16" s="95">
        <f>G17-SUM(G12:G15)</f>
        <v>53.513999999999982</v>
      </c>
      <c r="H16" s="95">
        <f t="shared" si="4"/>
        <v>-434.73099999999994</v>
      </c>
      <c r="I16" s="95">
        <f t="shared" si="4"/>
        <v>54.39500000000001</v>
      </c>
      <c r="J16" s="95">
        <f t="shared" si="4"/>
        <v>54.479000000000013</v>
      </c>
      <c r="K16" s="95">
        <f t="shared" si="4"/>
        <v>45.634999999999984</v>
      </c>
      <c r="L16" s="95">
        <f t="shared" si="4"/>
        <v>-9.1440000000000339</v>
      </c>
      <c r="M16" s="95">
        <f>M17-SUM(M12:M15)</f>
        <v>96.5</v>
      </c>
      <c r="N16" s="95">
        <v>-20.6</v>
      </c>
      <c r="O16" s="95">
        <v>24.02</v>
      </c>
      <c r="P16" s="95">
        <v>-9.9169999999999998</v>
      </c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152.97</v>
      </c>
      <c r="O17" s="96">
        <f>SUM(O12:O16)</f>
        <v>178.65</v>
      </c>
      <c r="P17" s="96">
        <f>SUM(P12:P16)</f>
        <v>83.22999999999999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157</v>
      </c>
      <c r="N19" s="68" t="s">
        <v>158</v>
      </c>
      <c r="O19" s="2" t="s">
        <v>161</v>
      </c>
      <c r="P19" s="2" t="s">
        <v>163</v>
      </c>
    </row>
    <row r="20" spans="1:24" ht="16.350000000000001" customHeight="1">
      <c r="B20" s="8" t="s">
        <v>153</v>
      </c>
      <c r="C20" s="9" t="s">
        <v>65</v>
      </c>
      <c r="D20" s="9"/>
      <c r="E20" s="99">
        <v>663</v>
      </c>
      <c r="F20" s="99">
        <v>739</v>
      </c>
      <c r="G20" s="99">
        <v>811</v>
      </c>
      <c r="H20" s="99">
        <v>856</v>
      </c>
      <c r="I20" s="100">
        <v>944</v>
      </c>
      <c r="J20" s="100">
        <v>1020</v>
      </c>
      <c r="K20" s="100">
        <v>1099</v>
      </c>
      <c r="L20" s="100">
        <v>1171</v>
      </c>
      <c r="M20" s="100">
        <v>1256.5</v>
      </c>
      <c r="N20" s="99">
        <v>1324.09</v>
      </c>
      <c r="O20" s="99">
        <v>1246.4970000000001</v>
      </c>
      <c r="P20" s="99">
        <v>1227.925</v>
      </c>
    </row>
    <row r="21" spans="1:24" ht="16.350000000000001" customHeight="1">
      <c r="B21" s="11" t="s">
        <v>123</v>
      </c>
      <c r="C21" s="9" t="s">
        <v>65</v>
      </c>
      <c r="D21" s="9"/>
      <c r="E21" s="99">
        <v>89</v>
      </c>
      <c r="F21" s="99">
        <v>167</v>
      </c>
      <c r="G21" s="99">
        <v>298</v>
      </c>
      <c r="H21" s="99">
        <v>308</v>
      </c>
      <c r="I21" s="100">
        <v>245</v>
      </c>
      <c r="J21" s="100">
        <v>209</v>
      </c>
      <c r="K21" s="100">
        <v>214</v>
      </c>
      <c r="L21" s="100">
        <v>117</v>
      </c>
      <c r="M21" s="100">
        <v>31.2</v>
      </c>
      <c r="N21" s="99">
        <v>-22.54</v>
      </c>
      <c r="O21" s="99">
        <v>-23</v>
      </c>
      <c r="P21" s="99">
        <v>65</v>
      </c>
    </row>
    <row r="22" spans="1:24" ht="16.350000000000001" customHeight="1">
      <c r="B22" s="8" t="s">
        <v>154</v>
      </c>
      <c r="C22" s="9" t="s">
        <v>65</v>
      </c>
      <c r="D22" s="17"/>
      <c r="E22" s="99">
        <v>54</v>
      </c>
      <c r="F22" s="99">
        <v>17</v>
      </c>
      <c r="G22" s="99">
        <v>9.6</v>
      </c>
      <c r="H22" s="99">
        <v>9.6</v>
      </c>
      <c r="I22" s="99">
        <v>9.6</v>
      </c>
      <c r="J22" s="99">
        <v>9.6</v>
      </c>
      <c r="K22" s="99">
        <v>9.6</v>
      </c>
      <c r="L22" s="100">
        <v>8.4</v>
      </c>
      <c r="M22" s="99">
        <v>8.4</v>
      </c>
      <c r="N22" s="99">
        <v>8.41</v>
      </c>
      <c r="O22" s="99">
        <v>22.788</v>
      </c>
      <c r="P22" s="99">
        <v>29.183</v>
      </c>
    </row>
    <row r="23" spans="1:24" ht="16.350000000000001" customHeight="1">
      <c r="B23" s="8" t="s">
        <v>155</v>
      </c>
      <c r="C23" s="9" t="s">
        <v>65</v>
      </c>
      <c r="D23" s="46"/>
      <c r="E23" s="99">
        <v>16.3</v>
      </c>
      <c r="F23" s="99">
        <v>12.7</v>
      </c>
      <c r="G23" s="99">
        <v>12.7</v>
      </c>
      <c r="H23" s="99">
        <v>12.7</v>
      </c>
      <c r="I23" s="99">
        <v>5.2</v>
      </c>
      <c r="J23" s="99">
        <v>5.2</v>
      </c>
      <c r="K23" s="99">
        <v>4.7</v>
      </c>
      <c r="L23" s="99">
        <v>4.5</v>
      </c>
      <c r="M23" s="99">
        <v>8.1999999999999993</v>
      </c>
      <c r="N23" s="99">
        <v>12.308999999999999</v>
      </c>
      <c r="O23" s="99">
        <v>6.0910000000000002</v>
      </c>
      <c r="P23" s="99"/>
    </row>
    <row r="24" spans="1:24" ht="16.350000000000001" customHeight="1">
      <c r="B24" s="8" t="s">
        <v>156</v>
      </c>
      <c r="C24" s="9" t="s">
        <v>65</v>
      </c>
      <c r="D24" s="46"/>
      <c r="E24" s="99">
        <v>4.5999999999999996</v>
      </c>
      <c r="F24" s="99">
        <v>4.9000000000000004</v>
      </c>
      <c r="G24" s="99">
        <v>4.4000000000000004</v>
      </c>
      <c r="H24" s="99">
        <v>4.0999999999999996</v>
      </c>
      <c r="I24" s="99">
        <v>4.0999999999999996</v>
      </c>
      <c r="J24" s="99">
        <v>4.0999999999999996</v>
      </c>
      <c r="K24" s="99">
        <v>4.0999999999999996</v>
      </c>
      <c r="L24" s="99">
        <v>2.1</v>
      </c>
      <c r="M24" s="99">
        <v>0.95699999999999996</v>
      </c>
      <c r="N24" s="99">
        <v>2.16</v>
      </c>
      <c r="O24" s="99"/>
      <c r="P24" s="99"/>
    </row>
    <row r="25" spans="1:24" ht="16.350000000000001" customHeight="1">
      <c r="B25" s="11" t="s">
        <v>64</v>
      </c>
      <c r="C25" s="9" t="s">
        <v>65</v>
      </c>
      <c r="D25" s="46"/>
      <c r="E25" s="99">
        <f>E26-E20-E21-E22-E23-E24</f>
        <v>249.1</v>
      </c>
      <c r="F25" s="99">
        <f t="shared" ref="F25:L25" si="5">F26-F20-F21-F22-F23-F24</f>
        <v>241.4</v>
      </c>
      <c r="G25" s="99">
        <f t="shared" si="5"/>
        <v>298.3</v>
      </c>
      <c r="H25" s="99">
        <f t="shared" si="5"/>
        <v>317.59999999999997</v>
      </c>
      <c r="I25" s="99">
        <f t="shared" si="5"/>
        <v>263.09999999999997</v>
      </c>
      <c r="J25" s="99">
        <f t="shared" si="5"/>
        <v>213.10000000000002</v>
      </c>
      <c r="K25" s="99">
        <f t="shared" si="5"/>
        <v>284.59999999999997</v>
      </c>
      <c r="L25" s="99">
        <f t="shared" si="5"/>
        <v>243</v>
      </c>
      <c r="M25" s="99">
        <f t="shared" ref="M25" si="6">M26-M20-M21-M22-M23-M24</f>
        <v>127.74300000000002</v>
      </c>
      <c r="N25" s="99">
        <v>133</v>
      </c>
      <c r="O25" s="99">
        <v>219</v>
      </c>
      <c r="P25" s="99">
        <v>312</v>
      </c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08">
        <v>1076</v>
      </c>
      <c r="F26" s="108">
        <v>1182</v>
      </c>
      <c r="G26" s="108">
        <v>1434</v>
      </c>
      <c r="H26" s="108">
        <v>1508</v>
      </c>
      <c r="I26" s="132">
        <v>1471</v>
      </c>
      <c r="J26" s="132">
        <v>1461</v>
      </c>
      <c r="K26" s="132">
        <v>1616</v>
      </c>
      <c r="L26" s="132">
        <v>1546</v>
      </c>
      <c r="M26" s="132">
        <v>1433</v>
      </c>
      <c r="N26" s="108">
        <f>SUM(N20:N25)</f>
        <v>1457.4290000000001</v>
      </c>
      <c r="O26" s="108">
        <f>SUM(O20:O25)</f>
        <v>1471.376</v>
      </c>
      <c r="P26" s="108">
        <f>SUM(P20:P25)</f>
        <v>1634.1079999999999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2" t="s">
        <v>157</v>
      </c>
      <c r="N28" s="2" t="s">
        <v>158</v>
      </c>
      <c r="O28" s="2" t="s">
        <v>161</v>
      </c>
      <c r="P28" s="2" t="s">
        <v>163</v>
      </c>
    </row>
    <row r="29" spans="1:24" ht="16.350000000000001" customHeight="1">
      <c r="B29" s="8" t="s">
        <v>37</v>
      </c>
      <c r="C29" s="9" t="s">
        <v>65</v>
      </c>
      <c r="D29" s="9"/>
      <c r="E29" s="102">
        <v>1376</v>
      </c>
      <c r="F29" s="102">
        <v>756.1</v>
      </c>
      <c r="G29" s="102">
        <v>821.5</v>
      </c>
      <c r="H29" s="102">
        <v>898.9</v>
      </c>
      <c r="I29" s="103">
        <v>1109</v>
      </c>
      <c r="J29" s="103">
        <v>954.5</v>
      </c>
      <c r="K29" s="103">
        <v>1188.3</v>
      </c>
      <c r="L29" s="103">
        <v>1293.5</v>
      </c>
      <c r="M29" s="103">
        <v>1396.8</v>
      </c>
      <c r="N29" s="103">
        <f>2882-M29-16</f>
        <v>1469.2</v>
      </c>
      <c r="O29" s="103">
        <v>1246.47</v>
      </c>
      <c r="P29" s="103">
        <f>6415.482-M29-N29-O29</f>
        <v>2303.0119999999997</v>
      </c>
    </row>
    <row r="30" spans="1:24" ht="16.350000000000001" customHeight="1">
      <c r="B30" s="11" t="s">
        <v>38</v>
      </c>
      <c r="C30" s="9" t="s">
        <v>65</v>
      </c>
      <c r="D30" s="9"/>
      <c r="E30" s="102">
        <v>0.4</v>
      </c>
      <c r="F30" s="102"/>
      <c r="G30" s="102"/>
      <c r="H30" s="102"/>
      <c r="I30" s="103"/>
      <c r="J30" s="103"/>
      <c r="K30" s="103"/>
      <c r="L30" s="103"/>
      <c r="M30" s="103">
        <v>0.72</v>
      </c>
      <c r="N30" s="103">
        <v>0</v>
      </c>
      <c r="O30" s="103"/>
      <c r="P30" s="103"/>
    </row>
    <row r="31" spans="1:24" ht="16.350000000000001" customHeight="1">
      <c r="B31" s="107" t="s">
        <v>39</v>
      </c>
      <c r="C31" s="9" t="s">
        <v>65</v>
      </c>
      <c r="D31" s="9"/>
      <c r="E31" s="102">
        <f>-22.9-14.4</f>
        <v>-37.299999999999997</v>
      </c>
      <c r="F31" s="102">
        <f>-17.9-3.143</f>
        <v>-21.042999999999999</v>
      </c>
      <c r="G31" s="102">
        <f>-40.7-45</f>
        <v>-85.7</v>
      </c>
      <c r="H31" s="102">
        <f>-23.5-16.471</f>
        <v>-39.971000000000004</v>
      </c>
      <c r="I31" s="103">
        <f>-30.7-10-7.4</f>
        <v>-48.1</v>
      </c>
      <c r="J31" s="103">
        <f>-23.6-9.627</f>
        <v>-33.227000000000004</v>
      </c>
      <c r="K31" s="103">
        <f>-115.3-15.804</f>
        <v>-131.10399999999998</v>
      </c>
      <c r="L31" s="103">
        <f>-54.3-15.97</f>
        <v>-70.27</v>
      </c>
      <c r="M31" s="103">
        <v>-90.019999999999897</v>
      </c>
      <c r="N31" s="103">
        <f>-128+90</f>
        <v>-38</v>
      </c>
      <c r="O31" s="103"/>
      <c r="P31" s="103"/>
    </row>
    <row r="32" spans="1:24" ht="16.350000000000001" customHeight="1">
      <c r="B32" s="11" t="s">
        <v>40</v>
      </c>
      <c r="C32" s="9" t="s">
        <v>65</v>
      </c>
      <c r="D32" s="46"/>
      <c r="E32" s="102">
        <v>-1153.7</v>
      </c>
      <c r="F32" s="102">
        <v>-563.70000000000005</v>
      </c>
      <c r="G32" s="102">
        <v>-576.9</v>
      </c>
      <c r="H32" s="102">
        <v>-672.2</v>
      </c>
      <c r="I32" s="103">
        <v>-838.4</v>
      </c>
      <c r="J32" s="103">
        <v>-716</v>
      </c>
      <c r="K32" s="103">
        <v>-814.9</v>
      </c>
      <c r="L32" s="103">
        <v>-1003.5</v>
      </c>
      <c r="M32" s="103">
        <v>-1058.4000000000001</v>
      </c>
      <c r="N32" s="103">
        <f>-2171-M32</f>
        <v>-1112.5999999999999</v>
      </c>
      <c r="O32" s="103">
        <v>-1346.56</v>
      </c>
      <c r="P32" s="103">
        <f>-4729.834-M32-N32-O32-M31-N31</f>
        <v>-1084.2539999999999</v>
      </c>
    </row>
    <row r="33" spans="1:16" ht="16.350000000000001" customHeight="1">
      <c r="B33" s="11" t="s">
        <v>41</v>
      </c>
      <c r="C33" s="9" t="s">
        <v>65</v>
      </c>
      <c r="D33" s="9"/>
      <c r="E33" s="102">
        <v>-75.3</v>
      </c>
      <c r="F33" s="102">
        <v>-66.2</v>
      </c>
      <c r="G33" s="102">
        <f>-63.6-4</f>
        <v>-67.599999999999994</v>
      </c>
      <c r="H33" s="102">
        <v>-63.1</v>
      </c>
      <c r="I33" s="103">
        <v>-69.2</v>
      </c>
      <c r="J33" s="103">
        <v>-70.2</v>
      </c>
      <c r="K33" s="103">
        <v>-70.7</v>
      </c>
      <c r="L33" s="103">
        <f>-69.4</f>
        <v>-69.400000000000006</v>
      </c>
      <c r="M33" s="103">
        <v>-83.7</v>
      </c>
      <c r="N33" s="103">
        <f>-170-M33</f>
        <v>-86.3</v>
      </c>
      <c r="O33" s="103">
        <v>-88.614000000000004</v>
      </c>
      <c r="P33" s="103">
        <f>-324.567-M33-N33-O33</f>
        <v>-65.953000000000003</v>
      </c>
    </row>
    <row r="34" spans="1:16" ht="16.350000000000001" customHeight="1">
      <c r="B34" s="11" t="s">
        <v>42</v>
      </c>
      <c r="C34" s="9" t="s">
        <v>65</v>
      </c>
      <c r="D34" s="9"/>
      <c r="E34" s="102">
        <v>-10.9</v>
      </c>
      <c r="F34" s="102">
        <f>-4.7-4</f>
        <v>-8.6999999999999993</v>
      </c>
      <c r="G34" s="102">
        <f>-5.2-6</f>
        <v>-11.2</v>
      </c>
      <c r="H34" s="102">
        <f>-4.6-6</f>
        <v>-10.6</v>
      </c>
      <c r="I34" s="103">
        <f>-5.2-9</f>
        <v>-14.2</v>
      </c>
      <c r="J34" s="103">
        <v>-10.6</v>
      </c>
      <c r="K34" s="103">
        <f>-10.3-7</f>
        <v>-17.3</v>
      </c>
      <c r="L34" s="103">
        <f>-11-7</f>
        <v>-18</v>
      </c>
      <c r="M34" s="103">
        <v>-18.2</v>
      </c>
      <c r="N34" s="103">
        <f>-25-M34</f>
        <v>-6.8000000000000007</v>
      </c>
      <c r="O34" s="103">
        <v>-10.76</v>
      </c>
      <c r="P34" s="103">
        <f>-95.144-M34-N34-O34</f>
        <v>-59.384000000000007</v>
      </c>
    </row>
    <row r="35" spans="1:16" ht="16.350000000000001" customHeight="1">
      <c r="B35" s="11" t="s">
        <v>11</v>
      </c>
      <c r="C35" s="9" t="s">
        <v>65</v>
      </c>
      <c r="D35" s="92"/>
      <c r="E35" s="104">
        <v>-80.2</v>
      </c>
      <c r="F35" s="102">
        <v>-81.599999999999994</v>
      </c>
      <c r="G35" s="102">
        <v>-77.900000000000006</v>
      </c>
      <c r="H35" s="102">
        <v>-99</v>
      </c>
      <c r="I35" s="103">
        <v>-132.30000000000001</v>
      </c>
      <c r="J35" s="103">
        <v>-108</v>
      </c>
      <c r="K35" s="103">
        <v>-118.2</v>
      </c>
      <c r="L35" s="103">
        <v>-122.4</v>
      </c>
      <c r="M35" s="103">
        <v>-143.4</v>
      </c>
      <c r="N35" s="103">
        <f>-284+143</f>
        <v>-141</v>
      </c>
      <c r="O35" s="103">
        <v>-180.36</v>
      </c>
      <c r="P35" s="103">
        <f>-811.08-M35-N35-O35</f>
        <v>-346.32000000000005</v>
      </c>
    </row>
    <row r="36" spans="1:16">
      <c r="B36" s="11" t="s">
        <v>109</v>
      </c>
      <c r="C36" s="9"/>
      <c r="D36" s="9"/>
      <c r="E36" s="102">
        <v>-5.4</v>
      </c>
      <c r="F36" s="102">
        <f>-18.7+1.3</f>
        <v>-17.399999999999999</v>
      </c>
      <c r="G36" s="102">
        <f>-5-9</f>
        <v>-14</v>
      </c>
      <c r="H36" s="102">
        <v>-10.6</v>
      </c>
      <c r="I36" s="103">
        <f>+-5.8-5</f>
        <v>-10.8</v>
      </c>
      <c r="J36" s="103">
        <f>-7.3-6</f>
        <v>-13.3</v>
      </c>
      <c r="K36" s="103">
        <f>-8.6-9</f>
        <v>-17.600000000000001</v>
      </c>
      <c r="L36" s="102">
        <v>-28.9</v>
      </c>
      <c r="M36" s="103">
        <v>-3.8</v>
      </c>
      <c r="N36" s="103">
        <f>-29+4</f>
        <v>-25</v>
      </c>
      <c r="O36" s="103">
        <v>-4.46</v>
      </c>
      <c r="P36" s="103">
        <f>-93.84-M36-N36-O36</f>
        <v>-60.580000000000005</v>
      </c>
    </row>
    <row r="37" spans="1:16" ht="16.350000000000001" customHeight="1">
      <c r="B37" s="11" t="s">
        <v>57</v>
      </c>
      <c r="C37" s="9" t="s">
        <v>65</v>
      </c>
      <c r="D37" s="9"/>
      <c r="E37" s="102">
        <f>SUM(E29:E36)</f>
        <v>13.600000000000085</v>
      </c>
      <c r="F37" s="105">
        <f t="shared" ref="F37:L37" si="7">SUM(F29:F36)</f>
        <v>-2.5430000000000277</v>
      </c>
      <c r="G37" s="102">
        <f t="shared" si="7"/>
        <v>-11.800000000000026</v>
      </c>
      <c r="H37" s="102">
        <f t="shared" si="7"/>
        <v>3.4289999999999399</v>
      </c>
      <c r="I37" s="102">
        <f t="shared" si="7"/>
        <v>-3.9999999999998757</v>
      </c>
      <c r="J37" s="102">
        <f t="shared" si="7"/>
        <v>3.1730000000000409</v>
      </c>
      <c r="K37" s="102">
        <f t="shared" si="7"/>
        <v>18.495999999999931</v>
      </c>
      <c r="L37" s="102">
        <f t="shared" si="7"/>
        <v>-18.969999999999992</v>
      </c>
      <c r="M37" s="102">
        <f>SUM(M29:M36)</f>
        <v>-7.3718808835110394E-14</v>
      </c>
      <c r="N37" s="102">
        <f>SUM(N29:N36)</f>
        <v>59.500000000000114</v>
      </c>
      <c r="O37" s="102">
        <f>SUM(O29:O36)</f>
        <v>-384.28399999999993</v>
      </c>
      <c r="P37" s="102">
        <f>SUM(P29:P36)</f>
        <v>686.52099999999973</v>
      </c>
    </row>
    <row r="38" spans="1:16">
      <c r="B38" s="11" t="s">
        <v>55</v>
      </c>
      <c r="C38" s="9" t="s">
        <v>65</v>
      </c>
      <c r="D38" s="9"/>
      <c r="E38" s="102">
        <v>-3.2</v>
      </c>
      <c r="F38" s="102">
        <v>0.27300000000000002</v>
      </c>
      <c r="G38" s="102">
        <v>-0.51</v>
      </c>
      <c r="H38" s="102"/>
      <c r="I38" s="103"/>
      <c r="J38" s="103"/>
      <c r="K38" s="103"/>
      <c r="L38" s="103"/>
      <c r="M38" s="103"/>
      <c r="N38" s="103"/>
      <c r="O38" s="103"/>
      <c r="P38" s="103"/>
    </row>
    <row r="39" spans="1:16">
      <c r="B39" s="11" t="s">
        <v>56</v>
      </c>
      <c r="C39" s="9" t="s">
        <v>65</v>
      </c>
      <c r="D39" s="9"/>
      <c r="E39" s="102"/>
      <c r="F39" s="102"/>
      <c r="G39" s="102"/>
      <c r="H39" s="102"/>
      <c r="I39" s="103"/>
      <c r="J39" s="103"/>
      <c r="K39" s="103"/>
      <c r="L39" s="103"/>
      <c r="M39" s="103"/>
      <c r="N39" s="103"/>
      <c r="O39" s="103"/>
      <c r="P39" s="103">
        <v>-128.1283</v>
      </c>
    </row>
    <row r="40" spans="1:16" ht="16.350000000000001" customHeight="1">
      <c r="B40" s="11" t="s">
        <v>58</v>
      </c>
      <c r="C40" s="9" t="s">
        <v>65</v>
      </c>
      <c r="D40" s="17"/>
      <c r="E40" s="102"/>
      <c r="F40" s="102"/>
      <c r="G40" s="102"/>
      <c r="H40" s="102"/>
      <c r="I40" s="103"/>
      <c r="J40" s="103"/>
      <c r="K40" s="103"/>
      <c r="L40" s="103"/>
      <c r="M40" s="103"/>
      <c r="N40" s="103"/>
      <c r="O40" s="103"/>
      <c r="P40" s="103"/>
    </row>
    <row r="41" spans="1:16" ht="16.350000000000001" customHeight="1">
      <c r="B41" s="11" t="s">
        <v>59</v>
      </c>
      <c r="C41" s="9" t="s">
        <v>65</v>
      </c>
      <c r="D41" s="46"/>
      <c r="E41" s="102"/>
      <c r="F41" s="102"/>
      <c r="G41" s="102"/>
      <c r="H41" s="102"/>
      <c r="I41" s="103"/>
      <c r="J41" s="103"/>
      <c r="K41" s="103"/>
      <c r="L41" s="103"/>
      <c r="M41" s="103"/>
      <c r="N41" s="103"/>
      <c r="O41" s="103"/>
      <c r="P41" s="103"/>
    </row>
    <row r="42" spans="1:16" ht="16.350000000000001" customHeight="1">
      <c r="B42" s="11" t="s">
        <v>60</v>
      </c>
      <c r="C42" s="9" t="s">
        <v>65</v>
      </c>
      <c r="D42" s="9"/>
      <c r="E42" s="102"/>
      <c r="F42" s="102"/>
      <c r="G42" s="102"/>
      <c r="H42" s="102"/>
      <c r="I42" s="103"/>
      <c r="J42" s="103"/>
      <c r="K42" s="103"/>
      <c r="L42" s="103"/>
      <c r="M42" s="103"/>
      <c r="N42" s="103"/>
      <c r="O42" s="103"/>
      <c r="P42" s="103"/>
    </row>
    <row r="43" spans="1:16" ht="38.25" customHeight="1">
      <c r="A43" s="134"/>
      <c r="B43" s="11" t="s">
        <v>61</v>
      </c>
      <c r="C43" s="9" t="s">
        <v>65</v>
      </c>
      <c r="D43" s="9"/>
      <c r="E43" s="102"/>
      <c r="F43" s="102"/>
      <c r="G43" s="102"/>
      <c r="H43" s="102"/>
      <c r="I43" s="103"/>
      <c r="J43" s="103"/>
      <c r="K43" s="103"/>
      <c r="L43" s="103"/>
      <c r="M43" s="103"/>
      <c r="N43" s="103">
        <v>-15</v>
      </c>
      <c r="O43" s="103">
        <v>-1</v>
      </c>
      <c r="P43" s="103">
        <f>2.136-N43-O43</f>
        <v>18.135999999999999</v>
      </c>
    </row>
    <row r="44" spans="1:16" ht="16.350000000000001" customHeight="1">
      <c r="B44" s="40" t="s">
        <v>148</v>
      </c>
      <c r="C44" s="9"/>
      <c r="D44" s="9"/>
      <c r="E44" s="102">
        <v>15.243</v>
      </c>
      <c r="F44" s="102">
        <f>E45</f>
        <v>25.643000000000086</v>
      </c>
      <c r="G44" s="102">
        <f>F45</f>
        <v>23.373000000000058</v>
      </c>
      <c r="H44" s="102">
        <f t="shared" ref="H44:J44" si="8">G45</f>
        <v>11.063000000000033</v>
      </c>
      <c r="I44" s="102">
        <f t="shared" si="8"/>
        <v>14.491999999999972</v>
      </c>
      <c r="J44" s="102">
        <f t="shared" si="8"/>
        <v>10.492000000000097</v>
      </c>
      <c r="K44" s="102">
        <f t="shared" ref="K44:P44" si="9">J45</f>
        <v>13.665000000000138</v>
      </c>
      <c r="L44" s="102">
        <f t="shared" si="9"/>
        <v>32.161000000000072</v>
      </c>
      <c r="M44" s="102">
        <f t="shared" si="9"/>
        <v>13.191000000000081</v>
      </c>
      <c r="N44" s="102">
        <f t="shared" si="9"/>
        <v>13.191000000000006</v>
      </c>
      <c r="O44" s="102">
        <f t="shared" si="9"/>
        <v>57.691000000000116</v>
      </c>
      <c r="P44" s="102">
        <f t="shared" si="9"/>
        <v>-327.59299999999985</v>
      </c>
    </row>
    <row r="45" spans="1:16" ht="16.350000000000001" customHeight="1">
      <c r="B45" s="14" t="s">
        <v>0</v>
      </c>
      <c r="C45" s="9" t="s">
        <v>65</v>
      </c>
      <c r="D45" s="9"/>
      <c r="E45" s="106">
        <f>SUM(E37:E44)</f>
        <v>25.643000000000086</v>
      </c>
      <c r="F45" s="106">
        <f>SUM(F37:F44)</f>
        <v>23.373000000000058</v>
      </c>
      <c r="G45" s="106">
        <f t="shared" ref="G45:K45" si="10">SUM(G37:G44)</f>
        <v>11.063000000000033</v>
      </c>
      <c r="H45" s="106">
        <f t="shared" si="10"/>
        <v>14.491999999999972</v>
      </c>
      <c r="I45" s="106">
        <f t="shared" si="10"/>
        <v>10.492000000000097</v>
      </c>
      <c r="J45" s="106">
        <f t="shared" si="10"/>
        <v>13.665000000000138</v>
      </c>
      <c r="K45" s="106">
        <f t="shared" si="10"/>
        <v>32.161000000000072</v>
      </c>
      <c r="L45" s="106">
        <f>SUM(L37:L44)</f>
        <v>13.191000000000081</v>
      </c>
      <c r="M45" s="106">
        <f>SUM(M37:M44)</f>
        <v>13.191000000000006</v>
      </c>
      <c r="N45" s="106">
        <f>SUM(N37:N44)</f>
        <v>57.691000000000116</v>
      </c>
      <c r="O45" s="106">
        <f>SUM(O37:O44)</f>
        <v>-327.59299999999985</v>
      </c>
      <c r="P45" s="106">
        <f>SUM(P37:P44)</f>
        <v>248.93569999999988</v>
      </c>
    </row>
    <row r="46" spans="1:16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1:16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1:16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Physical_annual</vt:lpstr>
      <vt:lpstr> Physical_quarterly</vt:lpstr>
      <vt:lpstr> Physical_monthly</vt:lpstr>
      <vt:lpstr>Commercial_annual</vt:lpstr>
      <vt:lpstr> Commercial_Quarterly</vt:lpstr>
      <vt:lpstr> Commercial_monthly</vt:lpstr>
      <vt:lpstr> STB_FS_annual</vt:lpstr>
      <vt:lpstr> STB_FS_semi-annual</vt:lpstr>
      <vt:lpstr> STB_FS_quarterly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HUAWEI</cp:lastModifiedBy>
  <cp:lastPrinted>2026-01-15T10:25:50Z</cp:lastPrinted>
  <dcterms:created xsi:type="dcterms:W3CDTF">2023-12-04T18:42:25Z</dcterms:created>
  <dcterms:modified xsi:type="dcterms:W3CDTF">2026-01-16T04:53:45Z</dcterms:modified>
</cp:coreProperties>
</file>